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8835" activeTab="3"/>
  </bookViews>
  <sheets>
    <sheet name="Receipt IDA-NUC " sheetId="1" r:id="rId1"/>
    <sheet name="Receipt OTHERS" sheetId="2" r:id="rId2"/>
    <sheet name="Sources and Uses of Funds" sheetId="3" r:id="rId3"/>
    <sheet name="Uses of Funds by Activ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<sst xmlns="http://schemas.openxmlformats.org/spreadsheetml/2006/main" count="194" uniqueCount="156">
  <si>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</si>
  <si>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</si>
  <si>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</si>
  <si>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</si>
  <si>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</si>
  <si>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</si>
  <si>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</si>
  <si>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</si>
  <si>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</si>
  <si>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</si>
  <si>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</si>
  <si>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</si>
  <si>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</si>
  <si>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</si>
  <si>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</si>
  <si>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</si>
  <si>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</si>
  <si>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</si>
  <si>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Statement of Sources and Uses of Funds</t>
  </si>
  <si>
    <t>Government Funds</t>
  </si>
  <si>
    <t>Student Fees</t>
  </si>
  <si>
    <t>Less:  ACE Expenditure as per Project Implementation Plan</t>
  </si>
  <si>
    <t xml:space="preserve">AFRICA HIGHER EDUCATION CENTERS OF EXCELLENCE PROJECT </t>
  </si>
  <si>
    <t>Work on the PAD/Life of project for the period</t>
  </si>
  <si>
    <t>Grand total of the funds</t>
  </si>
  <si>
    <t xml:space="preserve">UNIVERSITY OF JOS </t>
  </si>
  <si>
    <t>AFRICA CENTRE OF EXCELLENCE IN PHYTOMEDICINE RESEARCH &amp; DEVELOPMENT (ACEPRD)</t>
  </si>
  <si>
    <t xml:space="preserve">  </t>
  </si>
  <si>
    <t>Cummulative for Financial Year End</t>
  </si>
  <si>
    <t xml:space="preserve">Action Plan 1:  Enhance capacity to deliver regional high quality training </t>
  </si>
  <si>
    <t>Action Plan 2:  Enhance capacity to deliver applied research to address regional development challenges to Achieve Applied Research Excellence</t>
  </si>
  <si>
    <t>Action Plan 3:  Build &amp; strengthen regional and international academic partnership</t>
  </si>
  <si>
    <t>Action Plan 4:  Build and use industry/sector partnerships to enhance impact of ACE on development and increased relevance of center education and research</t>
  </si>
  <si>
    <t>Action Plan 5:  Enhance Governance and management of ACE  and the participating universities to Achieve Center/institutional Operations and Management Excellence</t>
  </si>
  <si>
    <t>Action Plan 6:  Enhance Revenue generation Strategies to Strengthen Financial Stability of the Centre</t>
  </si>
  <si>
    <t>UNIVERSITY OF JOS</t>
  </si>
  <si>
    <t>AFRICA  CENTRE OF EXCELLENCE IN PHYTOMEDICINE RESEARCH AND DEVELOPMENT (ACEPRD)</t>
  </si>
  <si>
    <t>AFRICA  HIGHER EDUCATION CENTRES OF EXCELLENCE PROJECT</t>
  </si>
  <si>
    <t>COMPONENT 1</t>
  </si>
  <si>
    <t>Action Plan 1:  Learning Excellence</t>
  </si>
  <si>
    <t xml:space="preserve">Enhance capacity to deliver regional high quality training </t>
  </si>
  <si>
    <t>Design new curriculum and get approval for new short courses</t>
  </si>
  <si>
    <t>Enrol and run new short courses</t>
  </si>
  <si>
    <t>Design new curriculum and get approval for Masters program</t>
  </si>
  <si>
    <t>Enrol and run new Masters curriculum</t>
  </si>
  <si>
    <t>Design new curriculum and get approval for PhD program</t>
  </si>
  <si>
    <t>Enrol and run new PhD curriculum</t>
  </si>
  <si>
    <t>e-learning platform development</t>
  </si>
  <si>
    <t>Running of English Second Language courses</t>
  </si>
  <si>
    <t>Upgrade and refurbishment of Learning Facilities/Resources</t>
  </si>
  <si>
    <t>1.10</t>
  </si>
  <si>
    <t>Curriculum development of English as Second language</t>
  </si>
  <si>
    <t>Hostel accommodation at the University for students</t>
  </si>
  <si>
    <t xml:space="preserve">Improving Learning Equipment </t>
  </si>
  <si>
    <t>Subtotal</t>
  </si>
  <si>
    <t>Action Plan 2: Applied Research</t>
  </si>
  <si>
    <t xml:space="preserve">Enhance capacity to deliver applied research to address regional development challenges </t>
  </si>
  <si>
    <t>Field sample study and collection</t>
  </si>
  <si>
    <t>Maintaining animal facility for laboratory tests</t>
  </si>
  <si>
    <t>Core specialized research equipment</t>
  </si>
  <si>
    <t>Center monthly seminar</t>
  </si>
  <si>
    <t>Action Plan 3:   Academic Partnership</t>
  </si>
  <si>
    <t xml:space="preserve">Build &amp; strengthen regional and international academic partnership </t>
  </si>
  <si>
    <t>Annual partner site visit</t>
  </si>
  <si>
    <t>Regional Student Exchange</t>
  </si>
  <si>
    <t>Regional Faculty Exchange</t>
  </si>
  <si>
    <t xml:space="preserve">Training by international faculty to build UNIJOS capacity </t>
  </si>
  <si>
    <t>Center combined regional and international research conference for students and faculty</t>
  </si>
  <si>
    <t>Regional Center Research Conference</t>
  </si>
  <si>
    <t>Project management committee meeting (bi-weekly)</t>
  </si>
  <si>
    <t>Outreach events targeting women and minorities</t>
  </si>
  <si>
    <t>Action Plan 4: Industry/Sector partnership</t>
  </si>
  <si>
    <t>Build and use industry/sector partnerships to enhance impact of ACE on development and increased relevance of center education and research</t>
  </si>
  <si>
    <t>Industry Networking events</t>
  </si>
  <si>
    <t>Action Plan 5: Governance/management Excellence</t>
  </si>
  <si>
    <t>Enhance Governance and management of ACE  and the participating universities to Achieve Center/institutional Operations and Management Excellence</t>
  </si>
  <si>
    <t>Center Operational Cost</t>
  </si>
  <si>
    <t>Vehicle purchase, fuel, maintenance</t>
  </si>
  <si>
    <t>International Advisory Board meeting</t>
  </si>
  <si>
    <t>Regional Advisory Board meeting</t>
  </si>
  <si>
    <t>Center Management Training</t>
  </si>
  <si>
    <t>Accreditation</t>
  </si>
  <si>
    <t>Action Plan 6: Financial Stability</t>
  </si>
  <si>
    <t>Enhance Revenue generation Strategies to Strengthen Financial Stability of the Centre</t>
  </si>
  <si>
    <t>Farm cultivation management and expansion</t>
  </si>
  <si>
    <t>GRAND TOTAL USES OF FUNDS</t>
  </si>
  <si>
    <t>NOTE</t>
  </si>
  <si>
    <t>ACEPRD GRANT FUND ACCOUNT</t>
  </si>
  <si>
    <t>S/N</t>
  </si>
  <si>
    <t>DATE</t>
  </si>
  <si>
    <t>DESCRIPTION</t>
  </si>
  <si>
    <t>RECEIPT</t>
  </si>
  <si>
    <t>DOLLAR EQUIVALENT</t>
  </si>
  <si>
    <t>=N=</t>
  </si>
  <si>
    <t>$</t>
  </si>
  <si>
    <t>%</t>
  </si>
  <si>
    <t xml:space="preserve">Prepared by </t>
  </si>
  <si>
    <t>Luke Ngwu (Finance Officer)</t>
  </si>
  <si>
    <t>World Bank IDA Funds (Direct payments by NUC)</t>
  </si>
  <si>
    <t>World Bank IDA Funds (Deposit by NUC into ACEPRD Naira Acc in CBN)</t>
  </si>
  <si>
    <t>World Bank IDA Funds (Fidelity Bank Plc)</t>
  </si>
  <si>
    <t>World Bank IDA Funds (CBN Naira Account)</t>
  </si>
  <si>
    <t>Applied research skills for faculty and students</t>
  </si>
  <si>
    <t xml:space="preserve">Lab based sample analysis for students (basic lab equipment) </t>
  </si>
  <si>
    <t>Publication submission &amp; Seed Grant to Faculty/Students</t>
  </si>
  <si>
    <t>Improving Research environment</t>
  </si>
  <si>
    <t>REFUNDS/OTHER RECEIPTS</t>
  </si>
  <si>
    <t xml:space="preserve">GRANT RECEIPTS </t>
  </si>
  <si>
    <t>Student Fees (Undergraduate fee paid in error)</t>
  </si>
  <si>
    <t>Refunds (undergraduate fee wrongly paid)</t>
  </si>
  <si>
    <t xml:space="preserve">Total Uses of Funds </t>
  </si>
  <si>
    <t>Others (Unremitted payments pending)</t>
  </si>
  <si>
    <t>Exchange Rate applied to arrive at Naira value of planned is N305/$.</t>
  </si>
  <si>
    <t>World Bank IDA Funds (Deposit by NUC into ACEPRD USD Acc in CBN)</t>
  </si>
  <si>
    <t>World Bank IDA Funds (CBN USD Account)</t>
  </si>
  <si>
    <t>*World Bank IDA Funds CBN Naira Account</t>
  </si>
  <si>
    <t>*World Bank IDA Funds CBN USD Account</t>
  </si>
  <si>
    <t>Exchange Rate for the expenditure is average of N305/$.</t>
  </si>
  <si>
    <t xml:space="preserve">Receipt from the World Bank through Direct credit into ACEPRD CBN e-collection Naira account (Total $200,000.00 @ N306/$ </t>
  </si>
  <si>
    <t xml:space="preserve">Receipt from the World Bank through Direct credit into ACEPRD CBN e-collection Naira account (Total $200,000.00 @ N305.45/$ </t>
  </si>
  <si>
    <t>Direct Payment through NUC to ISCON SCIENTIFIC LTD FOR PURCHASE OF LABORATORY EQUIPMENT (NMR) (Amount N35,478,000.00 @ N306/$)</t>
  </si>
  <si>
    <t>CONVERSIONS CBN  DOLLAR A/C  TO CBN NAIRA A/C</t>
  </si>
  <si>
    <t>INFLOW FROM  STUDENT (DEPOSITED IN ERROR)</t>
  </si>
  <si>
    <t>BENJAMIN DAVOU DACHOMO</t>
  </si>
  <si>
    <t xml:space="preserve">REFUND OF CASH ADVANCE </t>
  </si>
  <si>
    <t xml:space="preserve">ABAH ENE PATIENCE </t>
  </si>
  <si>
    <t>INFLOW FROM  STUDENT (WRONGFUL DEPOSIT)</t>
  </si>
  <si>
    <t>ALISON MAFENG WAZIRI</t>
  </si>
  <si>
    <t>AUGUSTINE KINGSLEY</t>
  </si>
  <si>
    <t>JOSEPH ATANG</t>
  </si>
  <si>
    <t>DAFER RETNA LEDAK</t>
  </si>
  <si>
    <t>ORNDIR SYLVESTER TERLUMUN</t>
  </si>
  <si>
    <t>HARUNA FREEMAN</t>
  </si>
  <si>
    <t>DR DOGO GONI ABRAHIM</t>
  </si>
  <si>
    <t>REFUND OF OVER PAYMENT OF FLIGHT TICKET</t>
  </si>
  <si>
    <t>MICHAEL OGIJI</t>
  </si>
  <si>
    <t>DR . ISHAYA Y. LONGDET</t>
  </si>
  <si>
    <t>FIDELITY BANK UNIJOS ACE NAIRA ACCT</t>
  </si>
  <si>
    <t>INFLOW FROM COVERSION OF USD $100,000.00 TO NAIRA @ N304.85</t>
  </si>
  <si>
    <t>TOTAL INFLOW CONVERSION</t>
  </si>
  <si>
    <t>JULY TO  DECEMBER 2018</t>
  </si>
  <si>
    <t>JULY TO DECEMBER 2018</t>
  </si>
  <si>
    <t>REFUND OF CASH ADVANCE</t>
  </si>
  <si>
    <t>TRANSFER OF ACCOUNT CLOSING BALANCE TO CBN NAIRA A/C</t>
  </si>
  <si>
    <t>TOTAL INFLOW FROM EARNINGS</t>
  </si>
  <si>
    <t>Direct Payment through NUC to ISCON SCIENTIFIC LTD FOR PURCHASE OF LABORATORY EQUIPMENT (ALLEGRA X30, UV-VIS SPECTROPHOTOMETERS, ETC) (Amount N74,118,700.00 @ N306/$)</t>
  </si>
  <si>
    <t>MATTHEW ADENIYI ADEWALE</t>
  </si>
  <si>
    <t>SHATU RIMAMTARI TUKI</t>
  </si>
  <si>
    <t>Statement of Uses of Funds By Project Activity  for the period ending 31/12/ 2018</t>
  </si>
  <si>
    <t>Semi-Annual Period ending July to December 2018</t>
  </si>
  <si>
    <t>for the semi-annual period ending 31/12/2018</t>
  </si>
  <si>
    <t>Semi-Annual Period ending 31/12/2018</t>
  </si>
  <si>
    <t xml:space="preserve">NAME </t>
  </si>
  <si>
    <t>MONICA SOLOMON LENG</t>
  </si>
  <si>
    <t>REFUND FOR CLOSING BANK CHARGES - FIDELITY BANK ACE NAIRA ACC</t>
  </si>
  <si>
    <t>Others (Refund of Advances &amp; others)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</si>
</sst>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€-2]\ #,##0.00;[Red]\-[$€-2]\ #,##0.00"/>
    <numFmt numFmtId="183" formatCode="_(* #,##0.000_);_(* \(#,##0.000\);_(* &quot;-&quot;???_);_(@_)"/>
    <numFmt numFmtId="184" formatCode="_(* #,##0.0000_);_(* \(#,##0.0000\);_(* &quot;-&quot;????_);_(@_)"/>
    <numFmt numFmtId="185" formatCode="_(* #,##0.000_);_(* \(#,##0.000\);_(* &quot;-&quot;??_);_(@_)"/>
    <numFmt numFmtId="186" formatCode="_(* #,##0.0_);_(* \(#,##0.0\);_(* &quot;-&quot;??_);_(@_)"/>
    <numFmt numFmtId="187" formatCode="0.0"/>
    <numFmt numFmtId="188" formatCode="_(* #,##0.0000000_);_(* \(#,##0.0000000\);_(* &quot;-&quot;???????_);_(@_)"/>
    <numFmt numFmtId="189" formatCode="_(* #,##0.00000000_);_(* \(#,##0.00000000\);_(* &quot;-&quot;????????_);_(@_)"/>
    <numFmt numFmtId="190" formatCode="_-* #,##0.0000000_-;\-* #,##0.0000000_-;_-* &quot;-&quot;???????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Cambria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8"/>
      <name val="Arial Black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Arial Black"/>
      <family val="2"/>
    </font>
    <font>
      <sz val="18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left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171" fontId="0" fillId="0" borderId="18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9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4" fillId="0" borderId="20" xfId="42" applyFont="1" applyBorder="1" applyAlignment="1">
      <alignment horizontal="center"/>
    </xf>
    <xf numFmtId="171" fontId="0" fillId="0" borderId="21" xfId="42" applyFont="1" applyBorder="1" applyAlignment="1">
      <alignment/>
    </xf>
    <xf numFmtId="171" fontId="0" fillId="0" borderId="22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23" xfId="42" applyFont="1" applyBorder="1" applyAlignment="1">
      <alignment/>
    </xf>
    <xf numFmtId="171" fontId="0" fillId="0" borderId="24" xfId="42" applyFont="1" applyBorder="1" applyAlignment="1">
      <alignment horizontal="right"/>
    </xf>
    <xf numFmtId="171" fontId="0" fillId="33" borderId="25" xfId="42" applyFont="1" applyFill="1" applyBorder="1" applyAlignment="1">
      <alignment/>
    </xf>
    <xf numFmtId="171" fontId="0" fillId="33" borderId="26" xfId="42" applyFont="1" applyFill="1" applyBorder="1" applyAlignment="1">
      <alignment/>
    </xf>
    <xf numFmtId="171" fontId="0" fillId="0" borderId="0" xfId="42" applyFont="1" applyAlignment="1">
      <alignment/>
    </xf>
    <xf numFmtId="171" fontId="0" fillId="0" borderId="27" xfId="42" applyFont="1" applyBorder="1" applyAlignment="1">
      <alignment/>
    </xf>
    <xf numFmtId="171" fontId="0" fillId="0" borderId="28" xfId="42" applyFont="1" applyBorder="1" applyAlignment="1">
      <alignment/>
    </xf>
    <xf numFmtId="171" fontId="0" fillId="0" borderId="29" xfId="42" applyFont="1" applyBorder="1" applyAlignment="1">
      <alignment horizontal="center"/>
    </xf>
    <xf numFmtId="171" fontId="4" fillId="0" borderId="30" xfId="42" applyFont="1" applyBorder="1" applyAlignment="1">
      <alignment horizontal="center"/>
    </xf>
    <xf numFmtId="171" fontId="0" fillId="0" borderId="31" xfId="42" applyFont="1" applyBorder="1" applyAlignment="1">
      <alignment/>
    </xf>
    <xf numFmtId="171" fontId="0" fillId="0" borderId="32" xfId="42" applyFont="1" applyBorder="1" applyAlignment="1">
      <alignment/>
    </xf>
    <xf numFmtId="171" fontId="0" fillId="0" borderId="29" xfId="42" applyFont="1" applyBorder="1" applyAlignment="1">
      <alignment/>
    </xf>
    <xf numFmtId="171" fontId="0" fillId="0" borderId="33" xfId="42" applyFont="1" applyBorder="1" applyAlignment="1">
      <alignment/>
    </xf>
    <xf numFmtId="171" fontId="0" fillId="33" borderId="28" xfId="42" applyFont="1" applyFill="1" applyBorder="1" applyAlignment="1">
      <alignment/>
    </xf>
    <xf numFmtId="171" fontId="0" fillId="33" borderId="34" xfId="42" applyFont="1" applyFill="1" applyBorder="1" applyAlignment="1">
      <alignment/>
    </xf>
    <xf numFmtId="171" fontId="0" fillId="0" borderId="30" xfId="42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71" fontId="61" fillId="0" borderId="10" xfId="0" applyNumberFormat="1" applyFont="1" applyBorder="1" applyAlignment="1">
      <alignment wrapText="1"/>
    </xf>
    <xf numFmtId="171" fontId="3" fillId="0" borderId="24" xfId="42" applyFont="1" applyBorder="1" applyAlignment="1">
      <alignment/>
    </xf>
    <xf numFmtId="171" fontId="3" fillId="0" borderId="25" xfId="42" applyFont="1" applyBorder="1" applyAlignment="1">
      <alignment/>
    </xf>
    <xf numFmtId="171" fontId="3" fillId="0" borderId="33" xfId="42" applyFont="1" applyBorder="1" applyAlignment="1">
      <alignment/>
    </xf>
    <xf numFmtId="171" fontId="3" fillId="0" borderId="28" xfId="42" applyFont="1" applyBorder="1" applyAlignment="1">
      <alignment/>
    </xf>
    <xf numFmtId="171" fontId="0" fillId="0" borderId="0" xfId="0" applyNumberFormat="1" applyAlignment="1">
      <alignment/>
    </xf>
    <xf numFmtId="171" fontId="3" fillId="0" borderId="20" xfId="42" applyFont="1" applyBorder="1" applyAlignment="1">
      <alignment horizontal="center" wrapText="1"/>
    </xf>
    <xf numFmtId="171" fontId="3" fillId="0" borderId="30" xfId="42" applyFont="1" applyBorder="1" applyAlignment="1">
      <alignment horizontal="center" wrapText="1"/>
    </xf>
    <xf numFmtId="0" fontId="0" fillId="0" borderId="0" xfId="64">
      <alignment/>
      <protection/>
    </xf>
    <xf numFmtId="0" fontId="62" fillId="0" borderId="35" xfId="64" applyFont="1" applyBorder="1" applyAlignment="1">
      <alignment horizontal="left"/>
      <protection/>
    </xf>
    <xf numFmtId="0" fontId="62" fillId="0" borderId="10" xfId="64" applyFont="1" applyBorder="1" applyAlignment="1">
      <alignment horizontal="center"/>
      <protection/>
    </xf>
    <xf numFmtId="0" fontId="62" fillId="0" borderId="10" xfId="64" applyNumberFormat="1" applyFont="1" applyBorder="1" applyAlignment="1">
      <alignment horizontal="center" wrapText="1"/>
      <protection/>
    </xf>
    <xf numFmtId="171" fontId="62" fillId="0" borderId="10" xfId="44" applyFont="1" applyBorder="1" applyAlignment="1">
      <alignment horizontal="center"/>
    </xf>
    <xf numFmtId="171" fontId="62" fillId="0" borderId="10" xfId="44" applyFont="1" applyBorder="1" applyAlignment="1">
      <alignment horizontal="center" wrapText="1"/>
    </xf>
    <xf numFmtId="0" fontId="0" fillId="0" borderId="10" xfId="64" applyBorder="1" applyAlignment="1">
      <alignment horizontal="center"/>
      <protection/>
    </xf>
    <xf numFmtId="171" fontId="62" fillId="0" borderId="10" xfId="44" applyFont="1" applyBorder="1" applyAlignment="1" quotePrefix="1">
      <alignment horizontal="center"/>
    </xf>
    <xf numFmtId="0" fontId="59" fillId="0" borderId="10" xfId="64" applyFont="1" applyBorder="1" applyAlignment="1">
      <alignment horizontal="center"/>
      <protection/>
    </xf>
    <xf numFmtId="0" fontId="63" fillId="0" borderId="10" xfId="64" applyFont="1" applyBorder="1" applyAlignment="1">
      <alignment horizontal="center"/>
      <protection/>
    </xf>
    <xf numFmtId="0" fontId="63" fillId="0" borderId="10" xfId="64" applyFont="1" applyBorder="1">
      <alignment/>
      <protection/>
    </xf>
    <xf numFmtId="171" fontId="63" fillId="0" borderId="10" xfId="44" applyFont="1" applyBorder="1" applyAlignment="1">
      <alignment/>
    </xf>
    <xf numFmtId="0" fontId="0" fillId="0" borderId="10" xfId="64" applyBorder="1">
      <alignment/>
      <protection/>
    </xf>
    <xf numFmtId="14" fontId="63" fillId="0" borderId="10" xfId="64" applyNumberFormat="1" applyFont="1" applyBorder="1">
      <alignment/>
      <protection/>
    </xf>
    <xf numFmtId="0" fontId="63" fillId="0" borderId="10" xfId="64" applyNumberFormat="1" applyFont="1" applyBorder="1" applyAlignment="1">
      <alignment horizontal="left" wrapText="1"/>
      <protection/>
    </xf>
    <xf numFmtId="171" fontId="62" fillId="0" borderId="10" xfId="44" applyFont="1" applyBorder="1" applyAlignment="1">
      <alignment/>
    </xf>
    <xf numFmtId="0" fontId="62" fillId="0" borderId="10" xfId="64" applyFont="1" applyBorder="1">
      <alignment/>
      <protection/>
    </xf>
    <xf numFmtId="0" fontId="62" fillId="0" borderId="10" xfId="64" applyNumberFormat="1" applyFont="1" applyBorder="1" applyAlignment="1">
      <alignment horizontal="left" wrapText="1"/>
      <protection/>
    </xf>
    <xf numFmtId="0" fontId="63" fillId="0" borderId="0" xfId="64" applyFont="1" applyBorder="1" applyAlignment="1">
      <alignment horizontal="center"/>
      <protection/>
    </xf>
    <xf numFmtId="0" fontId="63" fillId="0" borderId="0" xfId="64" applyFont="1" applyBorder="1">
      <alignment/>
      <protection/>
    </xf>
    <xf numFmtId="0" fontId="63" fillId="0" borderId="0" xfId="64" applyNumberFormat="1" applyFont="1" applyBorder="1" applyAlignment="1">
      <alignment horizontal="left" wrapText="1"/>
      <protection/>
    </xf>
    <xf numFmtId="171" fontId="63" fillId="0" borderId="0" xfId="44" applyFont="1" applyBorder="1" applyAlignment="1">
      <alignment/>
    </xf>
    <xf numFmtId="171" fontId="62" fillId="0" borderId="0" xfId="44" applyFont="1" applyAlignment="1">
      <alignment/>
    </xf>
    <xf numFmtId="171" fontId="0" fillId="0" borderId="0" xfId="64" applyNumberFormat="1">
      <alignment/>
      <protection/>
    </xf>
    <xf numFmtId="171" fontId="0" fillId="0" borderId="0" xfId="42" applyFont="1" applyAlignment="1">
      <alignment/>
    </xf>
    <xf numFmtId="0" fontId="7" fillId="0" borderId="10" xfId="0" applyFont="1" applyBorder="1" applyAlignment="1">
      <alignment wrapText="1"/>
    </xf>
    <xf numFmtId="15" fontId="9" fillId="0" borderId="10" xfId="0" applyNumberFormat="1" applyFont="1" applyBorder="1" applyAlignment="1">
      <alignment/>
    </xf>
    <xf numFmtId="171" fontId="0" fillId="0" borderId="24" xfId="42" applyFont="1" applyBorder="1" applyAlignment="1">
      <alignment/>
    </xf>
    <xf numFmtId="171" fontId="0" fillId="0" borderId="33" xfId="42" applyFont="1" applyBorder="1" applyAlignment="1">
      <alignment/>
    </xf>
    <xf numFmtId="171" fontId="3" fillId="0" borderId="36" xfId="42" applyFont="1" applyBorder="1" applyAlignment="1">
      <alignment/>
    </xf>
    <xf numFmtId="171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63" fillId="0" borderId="0" xfId="0" applyFont="1" applyBorder="1" applyAlignment="1">
      <alignment wrapText="1"/>
    </xf>
    <xf numFmtId="43" fontId="63" fillId="0" borderId="0" xfId="42" applyNumberFormat="1" applyFont="1" applyBorder="1" applyAlignment="1">
      <alignment/>
    </xf>
    <xf numFmtId="0" fontId="0" fillId="0" borderId="0" xfId="64" applyBorder="1">
      <alignment/>
      <protection/>
    </xf>
    <xf numFmtId="171" fontId="0" fillId="0" borderId="0" xfId="64" applyNumberFormat="1" applyBorder="1">
      <alignment/>
      <protection/>
    </xf>
    <xf numFmtId="171" fontId="0" fillId="0" borderId="0" xfId="42" applyFont="1" applyAlignment="1">
      <alignment/>
    </xf>
    <xf numFmtId="14" fontId="64" fillId="0" borderId="0" xfId="0" applyNumberFormat="1" applyFont="1" applyBorder="1" applyAlignment="1">
      <alignment/>
    </xf>
    <xf numFmtId="171" fontId="0" fillId="0" borderId="10" xfId="42" applyFont="1" applyBorder="1" applyAlignment="1">
      <alignment/>
    </xf>
    <xf numFmtId="1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10" xfId="64" applyFont="1" applyBorder="1">
      <alignment/>
      <protection/>
    </xf>
    <xf numFmtId="0" fontId="3" fillId="0" borderId="0" xfId="64" applyFont="1">
      <alignment/>
      <protection/>
    </xf>
    <xf numFmtId="171" fontId="3" fillId="0" borderId="0" xfId="64" applyNumberFormat="1" applyFont="1">
      <alignment/>
      <protection/>
    </xf>
    <xf numFmtId="15" fontId="63" fillId="0" borderId="0" xfId="0" applyNumberFormat="1" applyFont="1" applyBorder="1" applyAlignment="1">
      <alignment/>
    </xf>
    <xf numFmtId="0" fontId="65" fillId="0" borderId="10" xfId="64" applyNumberFormat="1" applyFont="1" applyBorder="1" applyAlignment="1">
      <alignment horizontal="left" wrapText="1"/>
      <protection/>
    </xf>
    <xf numFmtId="15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3" fontId="61" fillId="0" borderId="10" xfId="42" applyNumberFormat="1" applyFont="1" applyBorder="1" applyAlignment="1">
      <alignment/>
    </xf>
    <xf numFmtId="0" fontId="61" fillId="0" borderId="10" xfId="0" applyFont="1" applyBorder="1" applyAlignment="1">
      <alignment/>
    </xf>
    <xf numFmtId="43" fontId="61" fillId="0" borderId="10" xfId="42" applyNumberFormat="1" applyFont="1" applyBorder="1" applyAlignment="1">
      <alignment wrapText="1"/>
    </xf>
    <xf numFmtId="43" fontId="68" fillId="0" borderId="10" xfId="42" applyNumberFormat="1" applyFont="1" applyBorder="1" applyAlignment="1">
      <alignment/>
    </xf>
    <xf numFmtId="43" fontId="61" fillId="0" borderId="10" xfId="42" applyNumberFormat="1" applyFont="1" applyBorder="1" applyAlignment="1">
      <alignment/>
    </xf>
    <xf numFmtId="0" fontId="61" fillId="0" borderId="10" xfId="0" applyFont="1" applyBorder="1" applyAlignment="1">
      <alignment horizontal="left" wrapText="1"/>
    </xf>
    <xf numFmtId="171" fontId="0" fillId="0" borderId="0" xfId="0" applyNumberFormat="1" applyFont="1" applyAlignment="1">
      <alignment/>
    </xf>
    <xf numFmtId="171" fontId="3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15" fontId="69" fillId="0" borderId="10" xfId="0" applyNumberFormat="1" applyFont="1" applyBorder="1" applyAlignment="1">
      <alignment/>
    </xf>
    <xf numFmtId="43" fontId="69" fillId="0" borderId="10" xfId="42" applyNumberFormat="1" applyFont="1" applyBorder="1" applyAlignment="1">
      <alignment/>
    </xf>
    <xf numFmtId="43" fontId="61" fillId="0" borderId="10" xfId="42" applyNumberFormat="1" applyFont="1" applyBorder="1" applyAlignment="1">
      <alignment horizontal="left" wrapText="1"/>
    </xf>
    <xf numFmtId="0" fontId="69" fillId="0" borderId="10" xfId="64" applyFont="1" applyBorder="1" applyAlignment="1">
      <alignment horizontal="center"/>
      <protection/>
    </xf>
    <xf numFmtId="15" fontId="14" fillId="0" borderId="10" xfId="0" applyNumberFormat="1" applyFont="1" applyBorder="1" applyAlignment="1">
      <alignment/>
    </xf>
    <xf numFmtId="171" fontId="69" fillId="0" borderId="10" xfId="44" applyFont="1" applyBorder="1" applyAlignment="1">
      <alignment/>
    </xf>
    <xf numFmtId="0" fontId="69" fillId="0" borderId="10" xfId="64" applyFont="1" applyBorder="1" applyAlignment="1">
      <alignment horizontal="left" wrapText="1"/>
      <protection/>
    </xf>
    <xf numFmtId="0" fontId="0" fillId="0" borderId="0" xfId="65">
      <alignment/>
      <protection/>
    </xf>
    <xf numFmtId="0" fontId="70" fillId="0" borderId="0" xfId="65" applyFont="1">
      <alignment/>
      <protection/>
    </xf>
    <xf numFmtId="0" fontId="71" fillId="0" borderId="35" xfId="65" applyFont="1" applyBorder="1" applyAlignment="1">
      <alignment horizontal="center"/>
      <protection/>
    </xf>
    <xf numFmtId="171" fontId="71" fillId="0" borderId="35" xfId="50" applyFont="1" applyBorder="1" applyAlignment="1">
      <alignment horizontal="center"/>
    </xf>
    <xf numFmtId="0" fontId="0" fillId="4" borderId="10" xfId="65" applyFill="1" applyBorder="1" applyAlignment="1">
      <alignment horizontal="center"/>
      <protection/>
    </xf>
    <xf numFmtId="0" fontId="0" fillId="4" borderId="21" xfId="65" applyFill="1" applyBorder="1">
      <alignment/>
      <protection/>
    </xf>
    <xf numFmtId="0" fontId="0" fillId="4" borderId="35" xfId="65" applyFill="1" applyBorder="1">
      <alignment/>
      <protection/>
    </xf>
    <xf numFmtId="0" fontId="0" fillId="4" borderId="10" xfId="65" applyFill="1" applyBorder="1">
      <alignment/>
      <protection/>
    </xf>
    <xf numFmtId="0" fontId="0" fillId="4" borderId="10" xfId="65" applyFont="1" applyFill="1" applyBorder="1" applyAlignment="1">
      <alignment horizontal="center"/>
      <protection/>
    </xf>
    <xf numFmtId="0" fontId="70" fillId="0" borderId="10" xfId="65" applyFont="1" applyBorder="1">
      <alignment/>
      <protection/>
    </xf>
    <xf numFmtId="0" fontId="70" fillId="0" borderId="37" xfId="65" applyFont="1" applyBorder="1" applyAlignment="1">
      <alignment wrapText="1"/>
      <protection/>
    </xf>
    <xf numFmtId="171" fontId="70" fillId="0" borderId="16" xfId="50" applyFont="1" applyBorder="1" applyAlignment="1">
      <alignment/>
    </xf>
    <xf numFmtId="171" fontId="70" fillId="0" borderId="38" xfId="50" applyFont="1" applyBorder="1" applyAlignment="1">
      <alignment/>
    </xf>
    <xf numFmtId="0" fontId="70" fillId="0" borderId="32" xfId="65" applyFont="1" applyBorder="1">
      <alignment/>
      <protection/>
    </xf>
    <xf numFmtId="0" fontId="70" fillId="0" borderId="16" xfId="65" applyFont="1" applyBorder="1">
      <alignment/>
      <protection/>
    </xf>
    <xf numFmtId="0" fontId="0" fillId="0" borderId="10" xfId="65" applyBorder="1" applyAlignment="1">
      <alignment horizontal="center"/>
      <protection/>
    </xf>
    <xf numFmtId="0" fontId="70" fillId="0" borderId="37" xfId="65" applyFont="1" applyBorder="1">
      <alignment/>
      <protection/>
    </xf>
    <xf numFmtId="0" fontId="0" fillId="0" borderId="10" xfId="65" applyBorder="1" applyAlignment="1">
      <alignment/>
      <protection/>
    </xf>
    <xf numFmtId="0" fontId="0" fillId="0" borderId="25" xfId="65" applyFont="1" applyBorder="1" applyAlignment="1">
      <alignment horizontal="center"/>
      <protection/>
    </xf>
    <xf numFmtId="171" fontId="70" fillId="0" borderId="10" xfId="50" applyFont="1" applyBorder="1" applyAlignment="1">
      <alignment/>
    </xf>
    <xf numFmtId="171" fontId="70" fillId="0" borderId="32" xfId="50" applyFont="1" applyBorder="1" applyAlignment="1">
      <alignment/>
    </xf>
    <xf numFmtId="0" fontId="71" fillId="0" borderId="10" xfId="65" applyFont="1" applyBorder="1" applyAlignment="1">
      <alignment vertical="top" wrapText="1"/>
      <protection/>
    </xf>
    <xf numFmtId="171" fontId="40" fillId="34" borderId="37" xfId="50" applyFont="1" applyFill="1" applyBorder="1" applyAlignment="1">
      <alignment vertical="center" wrapText="1"/>
    </xf>
    <xf numFmtId="171" fontId="72" fillId="34" borderId="10" xfId="50" applyFont="1" applyFill="1" applyBorder="1" applyAlignment="1" quotePrefix="1">
      <alignment horizontal="center" vertical="center" wrapText="1"/>
    </xf>
    <xf numFmtId="0" fontId="72" fillId="0" borderId="10" xfId="65" applyFont="1" applyBorder="1" applyAlignment="1">
      <alignment horizontal="center" vertical="center"/>
      <protection/>
    </xf>
    <xf numFmtId="0" fontId="70" fillId="0" borderId="23" xfId="65" applyFont="1" applyBorder="1">
      <alignment/>
      <protection/>
    </xf>
    <xf numFmtId="0" fontId="70" fillId="0" borderId="29" xfId="65" applyFont="1" applyBorder="1">
      <alignment/>
      <protection/>
    </xf>
    <xf numFmtId="0" fontId="70" fillId="0" borderId="10" xfId="65" applyFont="1" applyBorder="1" applyAlignment="1">
      <alignment wrapText="1"/>
      <protection/>
    </xf>
    <xf numFmtId="0" fontId="70" fillId="0" borderId="37" xfId="65" applyFont="1" applyBorder="1" applyAlignment="1">
      <alignment vertical="top" wrapText="1"/>
      <protection/>
    </xf>
    <xf numFmtId="171" fontId="73" fillId="0" borderId="10" xfId="50" applyFont="1" applyBorder="1" applyAlignment="1">
      <alignment/>
    </xf>
    <xf numFmtId="171" fontId="70" fillId="0" borderId="10" xfId="50" applyFont="1" applyBorder="1" applyAlignment="1">
      <alignment wrapText="1"/>
    </xf>
    <xf numFmtId="171" fontId="70" fillId="0" borderId="10" xfId="50" applyFont="1" applyBorder="1" applyAlignment="1">
      <alignment/>
    </xf>
    <xf numFmtId="171" fontId="72" fillId="0" borderId="10" xfId="50" applyFont="1" applyBorder="1" applyAlignment="1">
      <alignment/>
    </xf>
    <xf numFmtId="171" fontId="70" fillId="0" borderId="32" xfId="50" applyFont="1" applyBorder="1" applyAlignment="1">
      <alignment/>
    </xf>
    <xf numFmtId="0" fontId="70" fillId="0" borderId="0" xfId="65" applyFont="1" applyAlignment="1">
      <alignment/>
      <protection/>
    </xf>
    <xf numFmtId="0" fontId="70" fillId="0" borderId="10" xfId="65" applyFont="1" applyBorder="1" applyAlignment="1">
      <alignment vertical="top" wrapText="1"/>
      <protection/>
    </xf>
    <xf numFmtId="171" fontId="73" fillId="34" borderId="10" xfId="50" applyFont="1" applyFill="1" applyBorder="1" applyAlignment="1">
      <alignment wrapText="1"/>
    </xf>
    <xf numFmtId="171" fontId="73" fillId="34" borderId="10" xfId="50" applyFont="1" applyFill="1" applyBorder="1" applyAlignment="1">
      <alignment/>
    </xf>
    <xf numFmtId="171" fontId="8" fillId="34" borderId="10" xfId="50" applyFont="1" applyFill="1" applyBorder="1" applyAlignment="1">
      <alignment/>
    </xf>
    <xf numFmtId="49" fontId="70" fillId="0" borderId="10" xfId="65" applyNumberFormat="1" applyFont="1" applyBorder="1" applyAlignment="1">
      <alignment horizontal="right" vertical="top" wrapText="1"/>
      <protection/>
    </xf>
    <xf numFmtId="0" fontId="71" fillId="0" borderId="10" xfId="65" applyFont="1" applyBorder="1" applyAlignment="1">
      <alignment wrapText="1"/>
      <protection/>
    </xf>
    <xf numFmtId="0" fontId="71" fillId="0" borderId="37" xfId="65" applyFont="1" applyBorder="1" applyAlignment="1">
      <alignment vertical="top" wrapText="1"/>
      <protection/>
    </xf>
    <xf numFmtId="171" fontId="73" fillId="35" borderId="10" xfId="50" applyFont="1" applyFill="1" applyBorder="1" applyAlignment="1">
      <alignment/>
    </xf>
    <xf numFmtId="171" fontId="72" fillId="34" borderId="10" xfId="50" applyFont="1" applyFill="1" applyBorder="1" applyAlignment="1">
      <alignment/>
    </xf>
    <xf numFmtId="0" fontId="71" fillId="0" borderId="0" xfId="65" applyFont="1">
      <alignment/>
      <protection/>
    </xf>
    <xf numFmtId="0" fontId="71" fillId="36" borderId="10" xfId="65" applyFont="1" applyFill="1" applyBorder="1" applyAlignment="1">
      <alignment wrapText="1"/>
      <protection/>
    </xf>
    <xf numFmtId="0" fontId="71" fillId="36" borderId="37" xfId="65" applyFont="1" applyFill="1" applyBorder="1" applyAlignment="1">
      <alignment vertical="top" wrapText="1"/>
      <protection/>
    </xf>
    <xf numFmtId="171" fontId="73" fillId="36" borderId="10" xfId="50" applyFont="1" applyFill="1" applyBorder="1" applyAlignment="1">
      <alignment/>
    </xf>
    <xf numFmtId="0" fontId="70" fillId="36" borderId="10" xfId="65" applyFont="1" applyFill="1" applyBorder="1" applyAlignment="1">
      <alignment/>
      <protection/>
    </xf>
    <xf numFmtId="171" fontId="70" fillId="36" borderId="10" xfId="50" applyFont="1" applyFill="1" applyBorder="1" applyAlignment="1">
      <alignment/>
    </xf>
    <xf numFmtId="171" fontId="70" fillId="36" borderId="16" xfId="50" applyFont="1" applyFill="1" applyBorder="1" applyAlignment="1">
      <alignment/>
    </xf>
    <xf numFmtId="171" fontId="70" fillId="36" borderId="32" xfId="50" applyFont="1" applyFill="1" applyBorder="1" applyAlignment="1">
      <alignment/>
    </xf>
    <xf numFmtId="0" fontId="70" fillId="0" borderId="10" xfId="65" applyFont="1" applyBorder="1" applyAlignment="1">
      <alignment/>
      <protection/>
    </xf>
    <xf numFmtId="171" fontId="70" fillId="0" borderId="16" xfId="50" applyFont="1" applyBorder="1" applyAlignment="1">
      <alignment/>
    </xf>
    <xf numFmtId="171" fontId="43" fillId="0" borderId="10" xfId="50" applyFont="1" applyBorder="1" applyAlignment="1">
      <alignment vertical="center" wrapText="1"/>
    </xf>
    <xf numFmtId="171" fontId="8" fillId="34" borderId="10" xfId="50" applyFont="1" applyFill="1" applyBorder="1" applyAlignment="1">
      <alignment vertical="center"/>
    </xf>
    <xf numFmtId="171" fontId="72" fillId="0" borderId="10" xfId="50" applyFont="1" applyBorder="1" applyAlignment="1">
      <alignment vertical="center"/>
    </xf>
    <xf numFmtId="0" fontId="71" fillId="0" borderId="37" xfId="65" applyFont="1" applyBorder="1" applyAlignment="1">
      <alignment wrapText="1"/>
      <protection/>
    </xf>
    <xf numFmtId="0" fontId="71" fillId="36" borderId="37" xfId="65" applyFont="1" applyFill="1" applyBorder="1" applyAlignment="1">
      <alignment wrapText="1"/>
      <protection/>
    </xf>
    <xf numFmtId="0" fontId="74" fillId="0" borderId="10" xfId="65" applyFont="1" applyBorder="1" applyAlignment="1">
      <alignment vertical="top" wrapText="1"/>
      <protection/>
    </xf>
    <xf numFmtId="171" fontId="73" fillId="34" borderId="10" xfId="50" applyFont="1" applyFill="1" applyBorder="1" applyAlignment="1">
      <alignment/>
    </xf>
    <xf numFmtId="0" fontId="74" fillId="0" borderId="37" xfId="65" applyFont="1" applyBorder="1" applyAlignment="1">
      <alignment vertical="top" wrapText="1"/>
      <protection/>
    </xf>
    <xf numFmtId="0" fontId="75" fillId="0" borderId="10" xfId="65" applyFont="1" applyBorder="1" applyAlignment="1">
      <alignment wrapText="1"/>
      <protection/>
    </xf>
    <xf numFmtId="0" fontId="75" fillId="0" borderId="37" xfId="65" applyFont="1" applyBorder="1" applyAlignment="1">
      <alignment wrapText="1"/>
      <protection/>
    </xf>
    <xf numFmtId="171" fontId="40" fillId="34" borderId="37" xfId="50" applyFont="1" applyFill="1" applyBorder="1" applyAlignment="1">
      <alignment vertical="top" wrapText="1"/>
    </xf>
    <xf numFmtId="0" fontId="7" fillId="0" borderId="10" xfId="65" applyFont="1" applyBorder="1">
      <alignment/>
      <protection/>
    </xf>
    <xf numFmtId="0" fontId="7" fillId="0" borderId="0" xfId="65" applyFont="1">
      <alignment/>
      <protection/>
    </xf>
    <xf numFmtId="171" fontId="8" fillId="0" borderId="0" xfId="65" applyNumberFormat="1" applyFont="1">
      <alignment/>
      <protection/>
    </xf>
    <xf numFmtId="171" fontId="8" fillId="34" borderId="10" xfId="50" applyFont="1" applyFill="1" applyBorder="1" applyAlignment="1">
      <alignment wrapText="1"/>
    </xf>
    <xf numFmtId="171" fontId="11" fillId="34" borderId="10" xfId="50" applyFont="1" applyFill="1" applyBorder="1" applyAlignment="1">
      <alignment wrapText="1"/>
    </xf>
    <xf numFmtId="0" fontId="75" fillId="36" borderId="10" xfId="65" applyFont="1" applyFill="1" applyBorder="1" applyAlignment="1">
      <alignment wrapText="1"/>
      <protection/>
    </xf>
    <xf numFmtId="0" fontId="75" fillId="36" borderId="37" xfId="65" applyFont="1" applyFill="1" applyBorder="1" applyAlignment="1">
      <alignment wrapText="1"/>
      <protection/>
    </xf>
    <xf numFmtId="0" fontId="71" fillId="0" borderId="10" xfId="65" applyFont="1" applyBorder="1">
      <alignment/>
      <protection/>
    </xf>
    <xf numFmtId="0" fontId="70" fillId="36" borderId="39" xfId="65" applyFont="1" applyFill="1" applyBorder="1">
      <alignment/>
      <protection/>
    </xf>
    <xf numFmtId="0" fontId="75" fillId="36" borderId="40" xfId="65" applyFont="1" applyFill="1" applyBorder="1" applyAlignment="1">
      <alignment wrapText="1"/>
      <protection/>
    </xf>
    <xf numFmtId="0" fontId="70" fillId="36" borderId="36" xfId="65" applyFont="1" applyFill="1" applyBorder="1" applyAlignment="1">
      <alignment/>
      <protection/>
    </xf>
    <xf numFmtId="171" fontId="70" fillId="36" borderId="39" xfId="50" applyFont="1" applyFill="1" applyBorder="1" applyAlignment="1">
      <alignment/>
    </xf>
    <xf numFmtId="171" fontId="70" fillId="36" borderId="41" xfId="50" applyFont="1" applyFill="1" applyBorder="1" applyAlignment="1">
      <alignment/>
    </xf>
    <xf numFmtId="171" fontId="70" fillId="36" borderId="42" xfId="50" applyFont="1" applyFill="1" applyBorder="1" applyAlignment="1">
      <alignment/>
    </xf>
    <xf numFmtId="0" fontId="71" fillId="10" borderId="36" xfId="65" applyFont="1" applyFill="1" applyBorder="1">
      <alignment/>
      <protection/>
    </xf>
    <xf numFmtId="0" fontId="71" fillId="10" borderId="43" xfId="65" applyFont="1" applyFill="1" applyBorder="1" applyAlignment="1">
      <alignment vertical="top" wrapText="1"/>
      <protection/>
    </xf>
    <xf numFmtId="171" fontId="72" fillId="37" borderId="10" xfId="50" applyFont="1" applyFill="1" applyBorder="1" applyAlignment="1">
      <alignment/>
    </xf>
    <xf numFmtId="171" fontId="71" fillId="10" borderId="36" xfId="50" applyFont="1" applyFill="1" applyBorder="1" applyAlignment="1">
      <alignment/>
    </xf>
    <xf numFmtId="171" fontId="71" fillId="10" borderId="43" xfId="50" applyFont="1" applyFill="1" applyBorder="1" applyAlignment="1">
      <alignment/>
    </xf>
    <xf numFmtId="0" fontId="70" fillId="0" borderId="0" xfId="65" applyFont="1" applyAlignment="1">
      <alignment wrapText="1"/>
      <protection/>
    </xf>
    <xf numFmtId="171" fontId="44" fillId="0" borderId="0" xfId="50" applyFont="1" applyAlignment="1">
      <alignment/>
    </xf>
    <xf numFmtId="171" fontId="70" fillId="0" borderId="0" xfId="50" applyFont="1" applyAlignment="1">
      <alignment/>
    </xf>
    <xf numFmtId="0" fontId="70" fillId="0" borderId="0" xfId="65" applyFont="1" applyAlignment="1">
      <alignment horizontal="left" wrapText="1"/>
      <protection/>
    </xf>
    <xf numFmtId="43" fontId="9" fillId="34" borderId="0" xfId="50" applyNumberFormat="1" applyFont="1" applyFill="1" applyBorder="1" applyAlignment="1">
      <alignment horizontal="left"/>
    </xf>
    <xf numFmtId="171" fontId="70" fillId="0" borderId="0" xfId="50" applyFont="1" applyAlignment="1">
      <alignment horizontal="left"/>
    </xf>
    <xf numFmtId="0" fontId="70" fillId="0" borderId="0" xfId="65" applyFont="1" applyAlignment="1">
      <alignment horizontal="left"/>
      <protection/>
    </xf>
    <xf numFmtId="171" fontId="0" fillId="0" borderId="0" xfId="65" applyNumberFormat="1">
      <alignment/>
      <protection/>
    </xf>
    <xf numFmtId="43" fontId="0" fillId="0" borderId="10" xfId="0" applyNumberFormat="1" applyFont="1" applyBorder="1" applyAlignment="1">
      <alignment/>
    </xf>
    <xf numFmtId="171" fontId="0" fillId="34" borderId="16" xfId="42" applyFont="1" applyFill="1" applyBorder="1" applyAlignment="1">
      <alignment vertical="center" wrapText="1"/>
    </xf>
    <xf numFmtId="171" fontId="0" fillId="34" borderId="16" xfId="42" applyFont="1" applyFill="1" applyBorder="1" applyAlignment="1">
      <alignment wrapText="1"/>
    </xf>
    <xf numFmtId="171" fontId="0" fillId="34" borderId="41" xfId="42" applyFont="1" applyFill="1" applyBorder="1" applyAlignment="1">
      <alignment vertical="center" wrapText="1"/>
    </xf>
    <xf numFmtId="0" fontId="65" fillId="0" borderId="0" xfId="64" applyFont="1" applyBorder="1" applyAlignment="1">
      <alignment horizontal="left"/>
      <protection/>
    </xf>
    <xf numFmtId="0" fontId="62" fillId="0" borderId="0" xfId="64" applyFont="1" applyBorder="1" applyAlignment="1">
      <alignment horizontal="center" wrapText="1"/>
      <protection/>
    </xf>
    <xf numFmtId="0" fontId="62" fillId="0" borderId="0" xfId="64" applyFont="1" applyBorder="1" applyAlignment="1">
      <alignment horizontal="center"/>
      <protection/>
    </xf>
    <xf numFmtId="0" fontId="62" fillId="0" borderId="0" xfId="64" applyFont="1" applyBorder="1" applyAlignment="1">
      <alignment horizontal="left" wrapText="1"/>
      <protection/>
    </xf>
    <xf numFmtId="0" fontId="62" fillId="0" borderId="0" xfId="64" applyFont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70" fillId="0" borderId="0" xfId="65" applyFont="1" applyAlignment="1">
      <alignment horizontal="left" wrapText="1"/>
      <protection/>
    </xf>
    <xf numFmtId="171" fontId="72" fillId="0" borderId="0" xfId="50" applyFont="1" applyBorder="1" applyAlignment="1">
      <alignment horizontal="center" wrapText="1"/>
    </xf>
    <xf numFmtId="0" fontId="71" fillId="0" borderId="0" xfId="65" applyFont="1" applyBorder="1" applyAlignment="1">
      <alignment horizontal="center"/>
      <protection/>
    </xf>
    <xf numFmtId="0" fontId="70" fillId="4" borderId="22" xfId="65" applyFont="1" applyFill="1" applyBorder="1" applyAlignment="1">
      <alignment horizontal="center"/>
      <protection/>
    </xf>
    <xf numFmtId="0" fontId="70" fillId="4" borderId="10" xfId="65" applyFont="1" applyFill="1" applyBorder="1" applyAlignment="1">
      <alignment horizontal="center"/>
      <protection/>
    </xf>
    <xf numFmtId="0" fontId="70" fillId="4" borderId="21" xfId="65" applyFont="1" applyFill="1" applyBorder="1" applyAlignment="1">
      <alignment horizontal="center" vertical="center" wrapText="1"/>
      <protection/>
    </xf>
    <xf numFmtId="0" fontId="70" fillId="4" borderId="37" xfId="65" applyFont="1" applyFill="1" applyBorder="1" applyAlignment="1">
      <alignment horizontal="center" vertical="center" wrapText="1"/>
      <protection/>
    </xf>
    <xf numFmtId="0" fontId="0" fillId="4" borderId="19" xfId="65" applyFont="1" applyFill="1" applyBorder="1" applyAlignment="1">
      <alignment horizontal="center"/>
      <protection/>
    </xf>
    <xf numFmtId="0" fontId="0" fillId="4" borderId="45" xfId="65" applyFont="1" applyFill="1" applyBorder="1" applyAlignment="1">
      <alignment horizontal="center"/>
      <protection/>
    </xf>
    <xf numFmtId="0" fontId="0" fillId="4" borderId="10" xfId="65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E%20N\Documents\New%20folder\july%20to%20dec%202018%20actual%20wk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E%20N\Documents\New%20folder\ACEPRD%20SOE\SOE%20FOR%20ACEPRD%20JUL%20TO%20DEC%202018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by component&amp;category"/>
      <sheetName val="ACTUAL WKG 1ST &amp; 2ND QTR"/>
      <sheetName val="Detail by component&amp;categor (2)"/>
      <sheetName val="Detail by component&amp;categor (3)"/>
      <sheetName val="Uses of Funds by Activity"/>
    </sheetNames>
    <sheetDataSet>
      <sheetData sheetId="3">
        <row r="11">
          <cell r="F11">
            <v>1220000</v>
          </cell>
          <cell r="G11">
            <v>0</v>
          </cell>
        </row>
        <row r="18">
          <cell r="F18">
            <v>4117500</v>
          </cell>
          <cell r="G18">
            <v>16304244.88</v>
          </cell>
        </row>
        <row r="21">
          <cell r="F21">
            <v>0</v>
          </cell>
          <cell r="G21">
            <v>0</v>
          </cell>
        </row>
        <row r="26">
          <cell r="F26">
            <v>11285000</v>
          </cell>
          <cell r="G26">
            <v>1619200</v>
          </cell>
        </row>
        <row r="29">
          <cell r="F29">
            <v>0</v>
          </cell>
          <cell r="G29">
            <v>0</v>
          </cell>
        </row>
        <row r="33">
          <cell r="F33">
            <v>11437500</v>
          </cell>
          <cell r="G33">
            <v>956000</v>
          </cell>
        </row>
        <row r="39">
          <cell r="F39">
            <v>11285000</v>
          </cell>
          <cell r="G39">
            <v>365750</v>
          </cell>
        </row>
        <row r="44">
          <cell r="F44">
            <v>2135000</v>
          </cell>
          <cell r="G44">
            <v>864500</v>
          </cell>
        </row>
        <row r="52">
          <cell r="F52">
            <v>9912500</v>
          </cell>
          <cell r="G52">
            <v>13123599.879999999</v>
          </cell>
        </row>
        <row r="56">
          <cell r="F56">
            <v>0</v>
          </cell>
        </row>
        <row r="61">
          <cell r="F61">
            <v>11285000</v>
          </cell>
          <cell r="G61">
            <v>30852984</v>
          </cell>
        </row>
        <row r="64">
          <cell r="F64">
            <v>12200000</v>
          </cell>
          <cell r="G64">
            <v>83844850</v>
          </cell>
        </row>
        <row r="88">
          <cell r="G88">
            <v>9122339</v>
          </cell>
        </row>
        <row r="92">
          <cell r="F92">
            <v>1220000</v>
          </cell>
          <cell r="G92">
            <v>0</v>
          </cell>
        </row>
        <row r="97">
          <cell r="F97">
            <v>3965000</v>
          </cell>
          <cell r="G97">
            <v>7017549.76</v>
          </cell>
        </row>
        <row r="103">
          <cell r="F103">
            <v>4575000</v>
          </cell>
          <cell r="G103">
            <v>236628.4</v>
          </cell>
        </row>
        <row r="109">
          <cell r="F109">
            <v>2135000</v>
          </cell>
          <cell r="G109">
            <v>0</v>
          </cell>
        </row>
        <row r="114">
          <cell r="F114">
            <v>1982500</v>
          </cell>
          <cell r="G114">
            <v>40556836.03</v>
          </cell>
        </row>
        <row r="117">
          <cell r="F117">
            <v>366000</v>
          </cell>
          <cell r="G117">
            <v>0</v>
          </cell>
        </row>
        <row r="121">
          <cell r="F121">
            <v>2135000</v>
          </cell>
          <cell r="G121">
            <v>0</v>
          </cell>
        </row>
        <row r="127">
          <cell r="F127">
            <v>1525000</v>
          </cell>
          <cell r="G127">
            <v>3278119</v>
          </cell>
        </row>
        <row r="132">
          <cell r="F132">
            <v>0</v>
          </cell>
        </row>
        <row r="137">
          <cell r="F137">
            <v>7167500</v>
          </cell>
          <cell r="G137">
            <v>0</v>
          </cell>
        </row>
        <row r="144">
          <cell r="F144">
            <v>2287500</v>
          </cell>
          <cell r="G144">
            <v>4903650</v>
          </cell>
        </row>
        <row r="155">
          <cell r="F155">
            <v>4803750</v>
          </cell>
          <cell r="G155">
            <v>0</v>
          </cell>
        </row>
        <row r="166">
          <cell r="F166">
            <v>0</v>
          </cell>
        </row>
        <row r="167">
          <cell r="F167">
            <v>0</v>
          </cell>
        </row>
        <row r="181">
          <cell r="F181">
            <v>11056250</v>
          </cell>
          <cell r="G181">
            <v>0</v>
          </cell>
        </row>
        <row r="189">
          <cell r="F189">
            <v>10675000</v>
          </cell>
          <cell r="G189">
            <v>4252280</v>
          </cell>
        </row>
        <row r="202">
          <cell r="F202">
            <v>8418000</v>
          </cell>
          <cell r="G202">
            <v>8717963</v>
          </cell>
        </row>
        <row r="206">
          <cell r="F206">
            <v>2135000</v>
          </cell>
          <cell r="G206">
            <v>355550</v>
          </cell>
        </row>
        <row r="212">
          <cell r="F212">
            <v>0</v>
          </cell>
          <cell r="G212">
            <v>0</v>
          </cell>
        </row>
        <row r="219">
          <cell r="F219">
            <v>4346250</v>
          </cell>
          <cell r="G219">
            <v>4221797.6</v>
          </cell>
        </row>
        <row r="226">
          <cell r="F226">
            <v>16775000</v>
          </cell>
          <cell r="G226">
            <v>30181739.23</v>
          </cell>
        </row>
        <row r="235">
          <cell r="F235">
            <v>16317500</v>
          </cell>
          <cell r="G235">
            <v>5633061</v>
          </cell>
        </row>
        <row r="249">
          <cell r="G249">
            <v>3891953.76</v>
          </cell>
        </row>
        <row r="250">
          <cell r="F250">
            <v>4346250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E DETAIL JULY TO DEC 2018"/>
      <sheetName val="DIRECT PAYMENTS JUL TO DEC 2018"/>
      <sheetName val="SOE  SUMMARY "/>
    </sheetNames>
    <sheetDataSet>
      <sheetData sheetId="2">
        <row r="40">
          <cell r="C40">
            <v>270300595.53999996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9.140625" style="51" customWidth="1"/>
    <col min="2" max="2" width="14.00390625" style="51" customWidth="1"/>
    <col min="3" max="3" width="43.8515625" style="51" customWidth="1"/>
    <col min="4" max="4" width="18.8515625" style="51" bestFit="1" customWidth="1"/>
    <col min="5" max="5" width="16.8515625" style="51" customWidth="1"/>
    <col min="6" max="6" width="17.7109375" style="51" customWidth="1"/>
    <col min="7" max="8" width="9.140625" style="51" customWidth="1"/>
    <col min="9" max="9" width="23.421875" style="51" customWidth="1"/>
    <col min="10" max="11" width="9.140625" style="51" customWidth="1"/>
    <col min="12" max="12" width="17.57421875" style="51" bestFit="1" customWidth="1"/>
    <col min="13" max="16384" width="9.140625" style="51" customWidth="1"/>
  </cols>
  <sheetData>
    <row r="1" spans="1:6" ht="30.75" customHeight="1">
      <c r="A1" s="217" t="s">
        <v>26</v>
      </c>
      <c r="B1" s="217"/>
      <c r="C1" s="217"/>
      <c r="D1" s="217"/>
      <c r="E1" s="217"/>
      <c r="F1" s="217"/>
    </row>
    <row r="2" spans="1:6" ht="15.75">
      <c r="A2" s="218" t="s">
        <v>35</v>
      </c>
      <c r="B2" s="218"/>
      <c r="C2" s="218"/>
      <c r="D2" s="218"/>
      <c r="E2" s="218"/>
      <c r="F2" s="218"/>
    </row>
    <row r="3" spans="1:5" ht="30.75" customHeight="1">
      <c r="A3" s="219" t="s">
        <v>87</v>
      </c>
      <c r="B3" s="219"/>
      <c r="C3" s="219"/>
      <c r="D3" s="219"/>
      <c r="E3" s="219"/>
    </row>
    <row r="4" spans="1:5" ht="15.75">
      <c r="A4" s="220" t="s">
        <v>107</v>
      </c>
      <c r="B4" s="220"/>
      <c r="C4" s="220"/>
      <c r="D4" s="220"/>
      <c r="E4" s="220"/>
    </row>
    <row r="5" spans="1:5" ht="15.75">
      <c r="A5" s="220" t="s">
        <v>141</v>
      </c>
      <c r="B5" s="220"/>
      <c r="C5" s="220"/>
      <c r="D5" s="220"/>
      <c r="E5" s="220"/>
    </row>
    <row r="6" spans="1:5" ht="15.75">
      <c r="A6" s="52"/>
      <c r="B6" s="52"/>
      <c r="C6" s="52"/>
      <c r="D6" s="52"/>
      <c r="E6" s="52"/>
    </row>
    <row r="7" spans="1:6" ht="31.5">
      <c r="A7" s="53" t="s">
        <v>88</v>
      </c>
      <c r="B7" s="53" t="s">
        <v>89</v>
      </c>
      <c r="C7" s="54" t="s">
        <v>90</v>
      </c>
      <c r="D7" s="55" t="s">
        <v>91</v>
      </c>
      <c r="E7" s="56" t="s">
        <v>92</v>
      </c>
      <c r="F7" s="57"/>
    </row>
    <row r="8" spans="1:6" ht="15.75">
      <c r="A8" s="53"/>
      <c r="B8" s="53"/>
      <c r="C8" s="54"/>
      <c r="D8" s="58" t="s">
        <v>93</v>
      </c>
      <c r="E8" s="56" t="s">
        <v>94</v>
      </c>
      <c r="F8" s="59" t="s">
        <v>95</v>
      </c>
    </row>
    <row r="9" spans="1:12" ht="57">
      <c r="A9" s="116">
        <v>1</v>
      </c>
      <c r="B9" s="117">
        <v>43311</v>
      </c>
      <c r="C9" s="83" t="s">
        <v>120</v>
      </c>
      <c r="D9" s="118">
        <v>35478000</v>
      </c>
      <c r="E9" s="118">
        <f>D9/306</f>
        <v>115941.17647058824</v>
      </c>
      <c r="F9" s="63"/>
      <c r="I9" s="88"/>
      <c r="J9" s="87"/>
      <c r="K9" s="87"/>
      <c r="L9" s="87"/>
    </row>
    <row r="10" spans="1:12" ht="42.75">
      <c r="A10" s="116">
        <v>2</v>
      </c>
      <c r="B10" s="113">
        <v>43319</v>
      </c>
      <c r="C10" s="119" t="s">
        <v>119</v>
      </c>
      <c r="D10" s="114">
        <v>61090000</v>
      </c>
      <c r="E10" s="118">
        <v>200000</v>
      </c>
      <c r="F10" s="91"/>
      <c r="I10" s="97"/>
      <c r="J10" s="86"/>
      <c r="K10" s="86"/>
      <c r="L10" s="86"/>
    </row>
    <row r="11" spans="1:12" ht="42.75">
      <c r="A11" s="116">
        <v>3</v>
      </c>
      <c r="B11" s="113">
        <v>43397</v>
      </c>
      <c r="C11" s="119" t="s">
        <v>118</v>
      </c>
      <c r="D11" s="114">
        <v>61210000</v>
      </c>
      <c r="E11" s="118">
        <v>200000</v>
      </c>
      <c r="F11" s="91"/>
      <c r="I11" s="90"/>
      <c r="J11" s="85"/>
      <c r="K11" s="85"/>
      <c r="L11" s="86"/>
    </row>
    <row r="12" spans="1:12" ht="71.25">
      <c r="A12" s="116">
        <v>4</v>
      </c>
      <c r="B12" s="117">
        <v>43452</v>
      </c>
      <c r="C12" s="83" t="s">
        <v>145</v>
      </c>
      <c r="D12" s="118">
        <v>74118700</v>
      </c>
      <c r="E12" s="118">
        <f>D12/306</f>
        <v>242217.97385620914</v>
      </c>
      <c r="F12" s="63"/>
      <c r="I12" s="88"/>
      <c r="J12" s="87"/>
      <c r="K12" s="87"/>
      <c r="L12" s="87"/>
    </row>
    <row r="13" spans="1:9" s="95" customFormat="1" ht="24.75" customHeight="1">
      <c r="A13" s="53"/>
      <c r="B13" s="92"/>
      <c r="C13" s="93" t="s">
        <v>144</v>
      </c>
      <c r="D13" s="66">
        <f>SUM(D9:D12)</f>
        <v>231896700</v>
      </c>
      <c r="E13" s="66">
        <f>SUM(E9:E12)</f>
        <v>758159.1503267974</v>
      </c>
      <c r="F13" s="94"/>
      <c r="I13" s="96"/>
    </row>
    <row r="14" spans="1:9" ht="15">
      <c r="A14" s="60"/>
      <c r="B14" s="77"/>
      <c r="C14" s="76"/>
      <c r="D14" s="62"/>
      <c r="E14" s="62"/>
      <c r="F14" s="63"/>
      <c r="I14" s="74"/>
    </row>
    <row r="15" spans="1:9" ht="15.75">
      <c r="A15" s="60"/>
      <c r="B15" s="64"/>
      <c r="C15" s="65"/>
      <c r="D15" s="62"/>
      <c r="E15" s="66"/>
      <c r="F15" s="63"/>
      <c r="I15" s="74"/>
    </row>
    <row r="16" spans="1:9" ht="30.75">
      <c r="A16" s="60"/>
      <c r="B16" s="61"/>
      <c r="C16" s="98" t="s">
        <v>121</v>
      </c>
      <c r="D16" s="62"/>
      <c r="E16" s="66"/>
      <c r="F16" s="63"/>
      <c r="I16" s="75"/>
    </row>
    <row r="17" spans="1:6" s="82" customFormat="1" ht="45" customHeight="1">
      <c r="A17" s="112">
        <v>1</v>
      </c>
      <c r="B17" s="113">
        <v>43285</v>
      </c>
      <c r="C17" s="103" t="s">
        <v>138</v>
      </c>
      <c r="D17" s="104">
        <v>30485000</v>
      </c>
      <c r="E17" s="110">
        <f>D17/304.85</f>
        <v>99999.99999999999</v>
      </c>
      <c r="F17" s="101"/>
    </row>
    <row r="18" spans="1:9" s="95" customFormat="1" ht="26.25" customHeight="1">
      <c r="A18" s="53"/>
      <c r="B18" s="67"/>
      <c r="C18" s="68" t="s">
        <v>139</v>
      </c>
      <c r="D18" s="66">
        <f>SUM(D17)</f>
        <v>30485000</v>
      </c>
      <c r="E18" s="66">
        <f>SUM(E17)</f>
        <v>99999.99999999999</v>
      </c>
      <c r="F18" s="94"/>
      <c r="I18" s="111"/>
    </row>
    <row r="19" spans="1:9" ht="15.75">
      <c r="A19" s="60"/>
      <c r="B19" s="61"/>
      <c r="C19" s="98"/>
      <c r="D19" s="62"/>
      <c r="E19" s="66"/>
      <c r="F19" s="63"/>
      <c r="I19" s="75"/>
    </row>
    <row r="20" spans="1:5" ht="15.75">
      <c r="A20" s="69"/>
      <c r="B20" s="70"/>
      <c r="C20" s="71"/>
      <c r="D20" s="72"/>
      <c r="E20" s="73"/>
    </row>
    <row r="21" spans="1:5" ht="15.75">
      <c r="A21" s="69"/>
      <c r="B21" s="216" t="s">
        <v>96</v>
      </c>
      <c r="C21" s="216"/>
      <c r="D21" s="72"/>
      <c r="E21" s="73"/>
    </row>
    <row r="22" spans="1:5" ht="15.75">
      <c r="A22" s="69"/>
      <c r="B22" s="216" t="s">
        <v>97</v>
      </c>
      <c r="C22" s="216"/>
      <c r="D22" s="72"/>
      <c r="E22" s="73"/>
    </row>
  </sheetData>
  <sheetProtection/>
  <mergeCells count="7">
    <mergeCell ref="B22:C22"/>
    <mergeCell ref="A1:F1"/>
    <mergeCell ref="A2:F2"/>
    <mergeCell ref="A3:E3"/>
    <mergeCell ref="A4:E4"/>
    <mergeCell ref="A5:E5"/>
    <mergeCell ref="B21:C2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9.140625" style="51" customWidth="1"/>
    <col min="2" max="2" width="11.7109375" style="51" customWidth="1"/>
    <col min="3" max="3" width="37.7109375" style="51" customWidth="1"/>
    <col min="4" max="4" width="45.28125" style="51" customWidth="1"/>
    <col min="5" max="5" width="18.8515625" style="51" bestFit="1" customWidth="1"/>
    <col min="6" max="6" width="16.8515625" style="51" customWidth="1"/>
    <col min="7" max="7" width="9.140625" style="51" customWidth="1"/>
    <col min="8" max="8" width="13.28125" style="51" bestFit="1" customWidth="1"/>
    <col min="9" max="9" width="10.00390625" style="51" bestFit="1" customWidth="1"/>
    <col min="10" max="16384" width="9.140625" style="51" customWidth="1"/>
  </cols>
  <sheetData>
    <row r="1" spans="1:6" ht="30.75" customHeight="1">
      <c r="A1" s="217" t="s">
        <v>26</v>
      </c>
      <c r="B1" s="217"/>
      <c r="C1" s="217"/>
      <c r="D1" s="217"/>
      <c r="E1" s="217"/>
      <c r="F1" s="217"/>
    </row>
    <row r="2" spans="1:6" ht="15.75">
      <c r="A2" s="218" t="s">
        <v>35</v>
      </c>
      <c r="B2" s="218"/>
      <c r="C2" s="218"/>
      <c r="D2" s="218"/>
      <c r="E2" s="218"/>
      <c r="F2" s="218"/>
    </row>
    <row r="3" spans="1:6" ht="30.75" customHeight="1">
      <c r="A3" s="219" t="s">
        <v>87</v>
      </c>
      <c r="B3" s="219"/>
      <c r="C3" s="219"/>
      <c r="D3" s="219"/>
      <c r="E3" s="219"/>
      <c r="F3" s="219"/>
    </row>
    <row r="4" spans="1:6" ht="15.75">
      <c r="A4" s="220" t="s">
        <v>106</v>
      </c>
      <c r="B4" s="220"/>
      <c r="C4" s="220"/>
      <c r="D4" s="220"/>
      <c r="E4" s="220"/>
      <c r="F4" s="220"/>
    </row>
    <row r="5" spans="1:6" ht="15.75">
      <c r="A5" s="220" t="s">
        <v>140</v>
      </c>
      <c r="B5" s="220"/>
      <c r="C5" s="220"/>
      <c r="D5" s="220"/>
      <c r="E5" s="220"/>
      <c r="F5" s="220"/>
    </row>
    <row r="6" spans="1:6" ht="15.75">
      <c r="A6" s="52"/>
      <c r="B6" s="52"/>
      <c r="C6" s="52"/>
      <c r="D6" s="52"/>
      <c r="E6" s="52"/>
      <c r="F6" s="52"/>
    </row>
    <row r="7" spans="1:6" ht="31.5">
      <c r="A7" s="53" t="s">
        <v>88</v>
      </c>
      <c r="B7" s="53" t="s">
        <v>89</v>
      </c>
      <c r="C7" s="53" t="s">
        <v>152</v>
      </c>
      <c r="D7" s="54" t="s">
        <v>90</v>
      </c>
      <c r="E7" s="55" t="s">
        <v>91</v>
      </c>
      <c r="F7" s="56" t="s">
        <v>92</v>
      </c>
    </row>
    <row r="8" spans="1:6" ht="15.75">
      <c r="A8" s="53"/>
      <c r="B8" s="53"/>
      <c r="C8" s="53"/>
      <c r="D8" s="54"/>
      <c r="E8" s="55"/>
      <c r="F8" s="56"/>
    </row>
    <row r="9" spans="1:6" s="82" customFormat="1" ht="28.5" customHeight="1">
      <c r="A9" s="101"/>
      <c r="B9" s="102">
        <v>43285</v>
      </c>
      <c r="C9" s="103" t="s">
        <v>146</v>
      </c>
      <c r="D9" s="103" t="s">
        <v>122</v>
      </c>
      <c r="E9" s="104">
        <v>115500</v>
      </c>
      <c r="F9" s="101"/>
    </row>
    <row r="10" spans="1:6" s="82" customFormat="1" ht="17.25" customHeight="1">
      <c r="A10" s="101"/>
      <c r="B10" s="102">
        <v>43332</v>
      </c>
      <c r="C10" s="103" t="s">
        <v>125</v>
      </c>
      <c r="D10" s="103" t="s">
        <v>126</v>
      </c>
      <c r="E10" s="104">
        <v>2500</v>
      </c>
      <c r="F10" s="101"/>
    </row>
    <row r="11" spans="1:6" s="82" customFormat="1" ht="17.25" customHeight="1">
      <c r="A11" s="101"/>
      <c r="B11" s="102">
        <v>43340</v>
      </c>
      <c r="C11" s="103" t="s">
        <v>127</v>
      </c>
      <c r="D11" s="103" t="s">
        <v>126</v>
      </c>
      <c r="E11" s="104">
        <v>2000</v>
      </c>
      <c r="F11" s="102"/>
    </row>
    <row r="12" spans="1:6" s="82" customFormat="1" ht="17.25" customHeight="1">
      <c r="A12" s="101"/>
      <c r="B12" s="102">
        <v>43343</v>
      </c>
      <c r="C12" s="103" t="s">
        <v>128</v>
      </c>
      <c r="D12" s="103" t="s">
        <v>126</v>
      </c>
      <c r="E12" s="104">
        <v>2000</v>
      </c>
      <c r="F12" s="101"/>
    </row>
    <row r="13" spans="1:6" s="82" customFormat="1" ht="17.25" customHeight="1">
      <c r="A13" s="101"/>
      <c r="B13" s="102">
        <v>43347</v>
      </c>
      <c r="C13" s="103" t="s">
        <v>129</v>
      </c>
      <c r="D13" s="103" t="s">
        <v>126</v>
      </c>
      <c r="E13" s="104">
        <v>15000</v>
      </c>
      <c r="F13" s="101"/>
    </row>
    <row r="14" spans="1:6" s="82" customFormat="1" ht="17.25" customHeight="1">
      <c r="A14" s="101"/>
      <c r="B14" s="102">
        <v>43367</v>
      </c>
      <c r="C14" s="103" t="s">
        <v>130</v>
      </c>
      <c r="D14" s="103" t="s">
        <v>126</v>
      </c>
      <c r="E14" s="104">
        <v>15000</v>
      </c>
      <c r="F14" s="101"/>
    </row>
    <row r="15" spans="1:6" s="82" customFormat="1" ht="17.25" customHeight="1">
      <c r="A15" s="101"/>
      <c r="B15" s="102">
        <v>43368</v>
      </c>
      <c r="C15" s="103" t="s">
        <v>131</v>
      </c>
      <c r="D15" s="103" t="s">
        <v>126</v>
      </c>
      <c r="E15" s="104">
        <v>15000</v>
      </c>
      <c r="F15" s="102"/>
    </row>
    <row r="16" spans="1:6" s="82" customFormat="1" ht="17.25" customHeight="1">
      <c r="A16" s="101"/>
      <c r="B16" s="102">
        <v>43371</v>
      </c>
      <c r="C16" s="103" t="s">
        <v>132</v>
      </c>
      <c r="D16" s="103" t="s">
        <v>126</v>
      </c>
      <c r="E16" s="104">
        <v>15000</v>
      </c>
      <c r="F16" s="102"/>
    </row>
    <row r="17" spans="1:6" s="82" customFormat="1" ht="25.5">
      <c r="A17" s="101"/>
      <c r="B17" s="102">
        <v>43385</v>
      </c>
      <c r="C17" s="103" t="s">
        <v>147</v>
      </c>
      <c r="D17" s="103" t="s">
        <v>126</v>
      </c>
      <c r="E17" s="104">
        <v>15000</v>
      </c>
      <c r="F17" s="101"/>
    </row>
    <row r="18" spans="1:6" s="82" customFormat="1" ht="12.75">
      <c r="A18" s="101"/>
      <c r="B18" s="102"/>
      <c r="C18" s="103"/>
      <c r="D18" s="103"/>
      <c r="E18" s="107">
        <f>SUM(E9:E17)</f>
        <v>197000</v>
      </c>
      <c r="F18" s="101"/>
    </row>
    <row r="19" spans="1:6" s="82" customFormat="1" ht="12.75">
      <c r="A19" s="101"/>
      <c r="B19" s="102"/>
      <c r="C19" s="103"/>
      <c r="D19" s="103"/>
      <c r="E19" s="107"/>
      <c r="F19" s="101"/>
    </row>
    <row r="20" spans="1:6" s="82" customFormat="1" ht="17.25" customHeight="1">
      <c r="A20" s="101"/>
      <c r="B20" s="102">
        <v>43329</v>
      </c>
      <c r="C20" s="106" t="s">
        <v>123</v>
      </c>
      <c r="D20" s="115" t="s">
        <v>124</v>
      </c>
      <c r="E20" s="104">
        <v>495000</v>
      </c>
      <c r="F20" s="101"/>
    </row>
    <row r="21" spans="1:6" s="82" customFormat="1" ht="17.25" customHeight="1">
      <c r="A21" s="101"/>
      <c r="B21" s="102">
        <v>43354</v>
      </c>
      <c r="C21" s="108" t="s">
        <v>123</v>
      </c>
      <c r="D21" s="106" t="s">
        <v>124</v>
      </c>
      <c r="E21" s="104">
        <v>75666.5</v>
      </c>
      <c r="F21" s="212"/>
    </row>
    <row r="22" spans="1:6" s="82" customFormat="1" ht="17.25" customHeight="1">
      <c r="A22" s="101"/>
      <c r="B22" s="102">
        <v>43398</v>
      </c>
      <c r="C22" s="109" t="s">
        <v>133</v>
      </c>
      <c r="D22" s="109" t="s">
        <v>134</v>
      </c>
      <c r="E22" s="104">
        <v>61275</v>
      </c>
      <c r="F22" s="212"/>
    </row>
    <row r="23" spans="1:6" s="82" customFormat="1" ht="17.25" customHeight="1">
      <c r="A23" s="101"/>
      <c r="B23" s="102">
        <v>43417</v>
      </c>
      <c r="C23" s="103" t="s">
        <v>135</v>
      </c>
      <c r="D23" s="103" t="s">
        <v>142</v>
      </c>
      <c r="E23" s="104">
        <v>10200</v>
      </c>
      <c r="F23" s="212"/>
    </row>
    <row r="24" spans="1:6" s="82" customFormat="1" ht="17.25" customHeight="1">
      <c r="A24" s="101"/>
      <c r="B24" s="102">
        <v>43423</v>
      </c>
      <c r="C24" s="103" t="s">
        <v>136</v>
      </c>
      <c r="D24" s="103" t="s">
        <v>142</v>
      </c>
      <c r="E24" s="104">
        <v>295486</v>
      </c>
      <c r="F24" s="212"/>
    </row>
    <row r="25" spans="1:6" s="82" customFormat="1" ht="25.5">
      <c r="A25" s="101"/>
      <c r="B25" s="102">
        <v>43453</v>
      </c>
      <c r="C25" s="103" t="s">
        <v>153</v>
      </c>
      <c r="D25" s="103" t="s">
        <v>154</v>
      </c>
      <c r="E25" s="104">
        <v>28</v>
      </c>
      <c r="F25" s="101"/>
    </row>
    <row r="26" spans="1:6" s="82" customFormat="1" ht="17.25" customHeight="1">
      <c r="A26" s="101"/>
      <c r="B26" s="102"/>
      <c r="C26" s="103"/>
      <c r="D26" s="103"/>
      <c r="E26" s="107">
        <f>SUM(E20:E25)</f>
        <v>937655.5</v>
      </c>
      <c r="F26" s="101"/>
    </row>
    <row r="27" spans="1:6" s="82" customFormat="1" ht="17.25" customHeight="1">
      <c r="A27" s="101"/>
      <c r="B27" s="105"/>
      <c r="C27" s="105"/>
      <c r="D27" s="105"/>
      <c r="E27" s="105"/>
      <c r="F27" s="101"/>
    </row>
    <row r="28" spans="1:6" s="82" customFormat="1" ht="25.5">
      <c r="A28" s="101"/>
      <c r="B28" s="102">
        <v>43453</v>
      </c>
      <c r="C28" s="103" t="s">
        <v>137</v>
      </c>
      <c r="D28" s="103" t="s">
        <v>143</v>
      </c>
      <c r="E28" s="104">
        <v>1940.14</v>
      </c>
      <c r="F28" s="101"/>
    </row>
    <row r="29" spans="1:6" ht="27">
      <c r="A29" s="2"/>
      <c r="B29" s="100"/>
      <c r="C29" s="100"/>
      <c r="D29" s="100"/>
      <c r="E29" s="100"/>
      <c r="F29" s="99"/>
    </row>
    <row r="30" spans="1:6" ht="15.75">
      <c r="A30" s="69"/>
      <c r="B30" s="216" t="s">
        <v>96</v>
      </c>
      <c r="C30" s="216"/>
      <c r="D30" s="216"/>
      <c r="E30" s="72"/>
      <c r="F30" s="73"/>
    </row>
    <row r="31" spans="1:6" ht="15.75">
      <c r="A31" s="69"/>
      <c r="B31" s="216" t="s">
        <v>97</v>
      </c>
      <c r="C31" s="216"/>
      <c r="D31" s="216"/>
      <c r="E31" s="72"/>
      <c r="F31" s="73"/>
    </row>
  </sheetData>
  <sheetProtection/>
  <mergeCells count="7">
    <mergeCell ref="B31:D31"/>
    <mergeCell ref="A1:F1"/>
    <mergeCell ref="A2:F2"/>
    <mergeCell ref="A3:F3"/>
    <mergeCell ref="A4:F4"/>
    <mergeCell ref="A5:F5"/>
    <mergeCell ref="B30:D30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3">
      <selection activeCell="E39" sqref="E39"/>
    </sheetView>
  </sheetViews>
  <sheetFormatPr defaultColWidth="9.140625" defaultRowHeight="12.75"/>
  <cols>
    <col min="1" max="1" width="74.00390625" style="0" customWidth="1"/>
    <col min="2" max="2" width="22.57421875" style="30" customWidth="1"/>
    <col min="3" max="3" width="20.8515625" style="30" customWidth="1"/>
    <col min="7" max="7" width="15.00390625" style="30" bestFit="1" customWidth="1"/>
    <col min="8" max="8" width="15.00390625" style="0" bestFit="1" customWidth="1"/>
    <col min="9" max="9" width="12.8515625" style="0" bestFit="1" customWidth="1"/>
  </cols>
  <sheetData>
    <row r="1" spans="1:3" ht="12.75">
      <c r="A1" s="6"/>
      <c r="B1" s="18"/>
      <c r="C1" s="31"/>
    </row>
    <row r="2" spans="1:3" ht="15">
      <c r="A2" s="221" t="s">
        <v>25</v>
      </c>
      <c r="B2" s="224"/>
      <c r="C2" s="225"/>
    </row>
    <row r="3" spans="1:3" ht="15">
      <c r="A3" s="221" t="s">
        <v>26</v>
      </c>
      <c r="B3" s="222"/>
      <c r="C3" s="223"/>
    </row>
    <row r="4" spans="1:3" ht="15">
      <c r="A4" s="221" t="s">
        <v>22</v>
      </c>
      <c r="B4" s="222"/>
      <c r="C4" s="223"/>
    </row>
    <row r="5" spans="1:3" ht="12.75">
      <c r="A5" s="226" t="s">
        <v>18</v>
      </c>
      <c r="B5" s="227"/>
      <c r="C5" s="228"/>
    </row>
    <row r="6" spans="1:3" ht="12.75">
      <c r="A6" s="229" t="s">
        <v>150</v>
      </c>
      <c r="B6" s="230"/>
      <c r="C6" s="231"/>
    </row>
    <row r="7" spans="1:3" ht="12.75">
      <c r="A7" s="8"/>
      <c r="B7" s="19"/>
      <c r="C7" s="32"/>
    </row>
    <row r="8" spans="1:3" ht="12.75">
      <c r="A8" s="8"/>
      <c r="B8" s="19"/>
      <c r="C8" s="32"/>
    </row>
    <row r="9" spans="1:3" ht="12.75">
      <c r="A9" s="8"/>
      <c r="B9" s="19"/>
      <c r="C9" s="32"/>
    </row>
    <row r="10" spans="1:5" ht="12.75">
      <c r="A10" s="9"/>
      <c r="B10" s="20"/>
      <c r="C10" s="33"/>
      <c r="D10" s="1"/>
      <c r="E10" s="1"/>
    </row>
    <row r="11" spans="1:5" ht="12.75">
      <c r="A11" s="10"/>
      <c r="B11" s="21"/>
      <c r="C11" s="41" t="s">
        <v>27</v>
      </c>
      <c r="D11" s="1"/>
      <c r="E11" s="1"/>
    </row>
    <row r="12" spans="1:5" ht="25.5">
      <c r="A12" s="7" t="s">
        <v>2</v>
      </c>
      <c r="B12" s="49" t="s">
        <v>151</v>
      </c>
      <c r="C12" s="50" t="s">
        <v>28</v>
      </c>
      <c r="D12" s="1"/>
      <c r="E12" s="1"/>
    </row>
    <row r="13" spans="1:5" ht="12.75">
      <c r="A13" s="11"/>
      <c r="B13" s="22"/>
      <c r="C13" s="34"/>
      <c r="D13" s="1"/>
      <c r="E13" s="1"/>
    </row>
    <row r="14" spans="1:3" ht="12.75">
      <c r="A14" s="12"/>
      <c r="B14" s="23"/>
      <c r="C14" s="35"/>
    </row>
    <row r="15" spans="1:3" ht="12.75">
      <c r="A15" s="13" t="s">
        <v>3</v>
      </c>
      <c r="B15" s="24"/>
      <c r="C15" s="35"/>
    </row>
    <row r="16" spans="1:3" ht="12.75">
      <c r="A16" s="8"/>
      <c r="B16" s="25"/>
      <c r="C16" s="36"/>
    </row>
    <row r="17" spans="1:3" ht="12.75">
      <c r="A17" s="5" t="s">
        <v>19</v>
      </c>
      <c r="B17" s="25">
        <v>0</v>
      </c>
      <c r="C17" s="36"/>
    </row>
    <row r="18" spans="1:3" ht="12.75">
      <c r="A18" s="8" t="s">
        <v>100</v>
      </c>
      <c r="B18" s="25">
        <v>42210.64</v>
      </c>
      <c r="C18" s="36">
        <v>42227.64</v>
      </c>
    </row>
    <row r="19" spans="1:3" ht="12.75">
      <c r="A19" s="8" t="s">
        <v>101</v>
      </c>
      <c r="B19" s="25">
        <v>-540739.7419353724</v>
      </c>
      <c r="C19" s="36">
        <v>30893129.300000116</v>
      </c>
    </row>
    <row r="20" spans="1:3" ht="12.75">
      <c r="A20" s="5" t="s">
        <v>114</v>
      </c>
      <c r="B20" s="26">
        <v>46184708.69305603</v>
      </c>
      <c r="C20" s="36">
        <v>0</v>
      </c>
    </row>
    <row r="21" spans="1:3" ht="12.75">
      <c r="A21" s="8" t="s">
        <v>20</v>
      </c>
      <c r="B21" s="26">
        <v>0</v>
      </c>
      <c r="C21" s="37">
        <f>B21</f>
        <v>0</v>
      </c>
    </row>
    <row r="22" spans="1:3" ht="13.5" thickBot="1">
      <c r="A22" s="8" t="s">
        <v>10</v>
      </c>
      <c r="B22" s="26">
        <v>0</v>
      </c>
      <c r="C22" s="37">
        <f>B22</f>
        <v>0</v>
      </c>
    </row>
    <row r="23" spans="1:3" ht="13.5" thickBot="1">
      <c r="A23" s="3" t="s">
        <v>0</v>
      </c>
      <c r="B23" s="27">
        <f>SUM(B17:B22)</f>
        <v>45686179.59112066</v>
      </c>
      <c r="C23" s="38">
        <f>SUM(C18:C22)</f>
        <v>30935356.940000117</v>
      </c>
    </row>
    <row r="24" spans="1:3" ht="12.75">
      <c r="A24" s="14"/>
      <c r="B24" s="28"/>
      <c r="C24" s="39"/>
    </row>
    <row r="25" spans="1:3" ht="12.75">
      <c r="A25" s="13" t="s">
        <v>4</v>
      </c>
      <c r="B25" s="25"/>
      <c r="C25" s="36"/>
    </row>
    <row r="26" spans="1:3" ht="12.75">
      <c r="A26" s="5" t="s">
        <v>19</v>
      </c>
      <c r="B26" s="25">
        <v>0</v>
      </c>
      <c r="C26" s="36"/>
    </row>
    <row r="27" spans="1:3" ht="12.75">
      <c r="A27" s="8" t="s">
        <v>99</v>
      </c>
      <c r="B27" s="25">
        <f>'Receipt IDA-NUC '!D10+'Receipt IDA-NUC '!D11</f>
        <v>122300000</v>
      </c>
      <c r="C27" s="36">
        <f>50000000+B27</f>
        <v>172300000</v>
      </c>
    </row>
    <row r="28" spans="1:3" ht="12.75">
      <c r="A28" s="5" t="s">
        <v>113</v>
      </c>
      <c r="B28" s="25">
        <v>0</v>
      </c>
      <c r="C28" s="36">
        <f>50000000+B28</f>
        <v>50000000</v>
      </c>
    </row>
    <row r="29" spans="1:3" ht="12.75">
      <c r="A29" s="8" t="s">
        <v>98</v>
      </c>
      <c r="B29" s="25">
        <f>'Receipt IDA-NUC '!D9+'Receipt IDA-NUC '!D12</f>
        <v>109596700</v>
      </c>
      <c r="C29" s="36">
        <f>27950000+B29</f>
        <v>137546700</v>
      </c>
    </row>
    <row r="30" spans="1:3" ht="12.75">
      <c r="A30" s="5" t="s">
        <v>108</v>
      </c>
      <c r="B30" s="26">
        <f>'Receipt OTHERS'!E18</f>
        <v>197000</v>
      </c>
      <c r="C30" s="37">
        <f>165850+B30</f>
        <v>362850</v>
      </c>
    </row>
    <row r="31" spans="1:3" ht="13.5" thickBot="1">
      <c r="A31" s="5" t="s">
        <v>155</v>
      </c>
      <c r="B31" s="26">
        <f>'Receipt OTHERS'!E26</f>
        <v>937655.5</v>
      </c>
      <c r="C31" s="37">
        <f>126457+B31</f>
        <v>1064112.5</v>
      </c>
    </row>
    <row r="32" spans="1:3" ht="13.5" thickBot="1">
      <c r="A32" s="3" t="s">
        <v>5</v>
      </c>
      <c r="B32" s="44">
        <f>B23+B26+B27+B28+B29+B30+B31</f>
        <v>278717535.09112066</v>
      </c>
      <c r="C32" s="46">
        <f>C23+C26+C27+C28+C29+C30+C31</f>
        <v>392209019.4400001</v>
      </c>
    </row>
    <row r="33" spans="1:3" ht="12.75">
      <c r="A33" s="15"/>
      <c r="B33" s="28"/>
      <c r="C33" s="39"/>
    </row>
    <row r="34" spans="1:3" ht="12.75">
      <c r="A34" s="13" t="s">
        <v>21</v>
      </c>
      <c r="B34" s="25"/>
      <c r="C34" s="36"/>
    </row>
    <row r="35" spans="1:3" ht="12.75">
      <c r="A35" s="42"/>
      <c r="B35" s="25"/>
      <c r="C35" s="36"/>
    </row>
    <row r="36" spans="1:8" ht="12.75">
      <c r="A36" s="213" t="s">
        <v>29</v>
      </c>
      <c r="B36" s="43">
        <f>'Uses of Funds by Activity'!C30</f>
        <v>147931128.76</v>
      </c>
      <c r="C36" s="36">
        <f>61260182.01+B36</f>
        <v>209191310.76999998</v>
      </c>
      <c r="F36" s="82"/>
      <c r="H36" s="48"/>
    </row>
    <row r="37" spans="1:9" ht="25.5">
      <c r="A37" s="213" t="s">
        <v>30</v>
      </c>
      <c r="B37" s="43">
        <f>'Uses of Funds by Activity'!C41</f>
        <v>56933353.19</v>
      </c>
      <c r="C37" s="36">
        <f>10170771.51+B37</f>
        <v>67104124.699999996</v>
      </c>
      <c r="F37" s="82"/>
      <c r="H37" s="48"/>
      <c r="I37" s="48"/>
    </row>
    <row r="38" spans="1:8" ht="12.75">
      <c r="A38" s="213" t="s">
        <v>31</v>
      </c>
      <c r="B38" s="43">
        <f>'Uses of Funds by Activity'!C52</f>
        <v>8181769</v>
      </c>
      <c r="C38" s="36">
        <f>0+B38</f>
        <v>8181769</v>
      </c>
      <c r="H38" s="48"/>
    </row>
    <row r="39" spans="1:8" ht="25.5">
      <c r="A39" s="214" t="s">
        <v>32</v>
      </c>
      <c r="B39" s="43">
        <f>'Uses of Funds by Activity'!C56</f>
        <v>4252280</v>
      </c>
      <c r="C39" s="36">
        <f>1184280+B39</f>
        <v>5436560</v>
      </c>
      <c r="H39" s="48"/>
    </row>
    <row r="40" spans="1:3" ht="25.5">
      <c r="A40" s="213" t="s">
        <v>33</v>
      </c>
      <c r="B40" s="43">
        <f>'Uses of Funds by Activity'!C65</f>
        <v>49110110.83</v>
      </c>
      <c r="C40" s="36">
        <f>35798445.2167742+B40</f>
        <v>84908556.04677421</v>
      </c>
    </row>
    <row r="41" spans="1:8" ht="26.25" thickBot="1">
      <c r="A41" s="215" t="s">
        <v>34</v>
      </c>
      <c r="B41" s="43">
        <f>'Uses of Funds by Activity'!C69</f>
        <v>3891953.76</v>
      </c>
      <c r="C41" s="36">
        <f>4936955.61210526+B41</f>
        <v>8828909.37210526</v>
      </c>
      <c r="H41" s="48"/>
    </row>
    <row r="42" spans="1:8" ht="13.5" thickBot="1">
      <c r="A42" s="4" t="s">
        <v>15</v>
      </c>
      <c r="B42" s="44">
        <f>SUM(B36:B41)</f>
        <v>270300595.53999996</v>
      </c>
      <c r="C42" s="46">
        <f>SUM(C36:C41)</f>
        <v>383651229.8888794</v>
      </c>
      <c r="H42" s="30"/>
    </row>
    <row r="43" spans="1:8" ht="13.5" thickBot="1">
      <c r="A43" s="5" t="s">
        <v>109</v>
      </c>
      <c r="B43" s="78">
        <v>0</v>
      </c>
      <c r="C43" s="79">
        <v>140850</v>
      </c>
      <c r="H43" s="48"/>
    </row>
    <row r="44" spans="1:3" ht="13.5" thickBot="1">
      <c r="A44" s="4" t="s">
        <v>110</v>
      </c>
      <c r="B44" s="44">
        <f>SUM(B42:B43)</f>
        <v>270300595.53999996</v>
      </c>
      <c r="C44" s="46">
        <f>SUM(C42:C43)</f>
        <v>383792079.8888794</v>
      </c>
    </row>
    <row r="45" spans="1:8" ht="13.5" thickBot="1">
      <c r="A45" s="3" t="s">
        <v>14</v>
      </c>
      <c r="B45" s="44">
        <f>B32-B42-B43</f>
        <v>8416939.551120698</v>
      </c>
      <c r="C45" s="46">
        <f>C32-C42-C43</f>
        <v>8416939.551120698</v>
      </c>
      <c r="H45" s="48"/>
    </row>
    <row r="46" spans="1:8" ht="12.75">
      <c r="A46" s="16"/>
      <c r="B46" s="25"/>
      <c r="C46" s="32"/>
      <c r="H46" s="30"/>
    </row>
    <row r="47" spans="1:8" ht="12.75">
      <c r="A47" s="5" t="s">
        <v>19</v>
      </c>
      <c r="B47" s="25">
        <v>0</v>
      </c>
      <c r="C47" s="36">
        <v>0</v>
      </c>
      <c r="H47" s="48"/>
    </row>
    <row r="48" spans="1:8" ht="12.75">
      <c r="A48" s="8" t="s">
        <v>100</v>
      </c>
      <c r="B48" s="25">
        <v>0</v>
      </c>
      <c r="C48" s="37">
        <f>B48</f>
        <v>0</v>
      </c>
      <c r="H48" s="48"/>
    </row>
    <row r="49" spans="1:8" ht="12.75">
      <c r="A49" s="5" t="s">
        <v>115</v>
      </c>
      <c r="B49" s="25">
        <v>-1646151.4800000042</v>
      </c>
      <c r="C49" s="36">
        <f>B49</f>
        <v>-1646151.4800000042</v>
      </c>
      <c r="H49" s="30"/>
    </row>
    <row r="50" spans="1:8" ht="12.75">
      <c r="A50" s="5" t="s">
        <v>116</v>
      </c>
      <c r="B50" s="81">
        <v>10063091.031120703</v>
      </c>
      <c r="C50" s="37">
        <f>B50</f>
        <v>10063091.031120703</v>
      </c>
      <c r="H50" s="48"/>
    </row>
    <row r="51" spans="1:8" ht="12.75">
      <c r="A51" s="8" t="s">
        <v>20</v>
      </c>
      <c r="B51" s="25">
        <v>0</v>
      </c>
      <c r="C51" s="36">
        <f>B51</f>
        <v>0</v>
      </c>
      <c r="H51" s="82"/>
    </row>
    <row r="52" spans="1:8" ht="13.5" thickBot="1">
      <c r="A52" s="5" t="s">
        <v>111</v>
      </c>
      <c r="B52" s="25">
        <v>0</v>
      </c>
      <c r="C52" s="36">
        <f>B52</f>
        <v>0</v>
      </c>
      <c r="H52" s="30"/>
    </row>
    <row r="53" spans="1:7" ht="13.5" thickBot="1">
      <c r="A53" s="3" t="s">
        <v>6</v>
      </c>
      <c r="B53" s="80">
        <f>SUM(B47:B52)</f>
        <v>8416939.551120698</v>
      </c>
      <c r="C53" s="46">
        <f>SUM(C47:C52)</f>
        <v>8416939.551120698</v>
      </c>
      <c r="G53" s="89"/>
    </row>
    <row r="54" spans="1:8" ht="12.75">
      <c r="A54" s="8"/>
      <c r="B54" s="45"/>
      <c r="C54" s="47"/>
      <c r="H54" s="48"/>
    </row>
    <row r="55" spans="1:3" ht="13.5" thickBot="1">
      <c r="A55" s="17"/>
      <c r="B55" s="29"/>
      <c r="C55" s="40"/>
    </row>
    <row r="56" ht="12.75">
      <c r="A56" s="84"/>
    </row>
  </sheetData>
  <sheetProtection/>
  <mergeCells count="6">
    <mergeCell ref="A3:C3"/>
    <mergeCell ref="A2:C2"/>
    <mergeCell ref="A5:C5"/>
    <mergeCell ref="A6:C6"/>
    <mergeCell ref="A4:C4"/>
  </mergeCells>
  <printOptions/>
  <pageMargins left="0.58" right="0.47" top="0.63" bottom="0.66" header="0.31" footer="0.3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80"/>
  <sheetViews>
    <sheetView tabSelected="1" zoomScale="78" zoomScaleNormal="78" zoomScalePageLayoutView="0" workbookViewId="0" topLeftCell="A44">
      <selection activeCell="B63" sqref="B63"/>
    </sheetView>
  </sheetViews>
  <sheetFormatPr defaultColWidth="9.140625" defaultRowHeight="12.75"/>
  <cols>
    <col min="1" max="1" width="15.7109375" style="120" customWidth="1"/>
    <col min="2" max="2" width="60.57421875" style="120" bestFit="1" customWidth="1"/>
    <col min="3" max="4" width="23.00390625" style="120" bestFit="1" customWidth="1"/>
    <col min="5" max="5" width="19.57421875" style="120" bestFit="1" customWidth="1"/>
    <col min="6" max="7" width="18.7109375" style="120" bestFit="1" customWidth="1"/>
    <col min="8" max="8" width="20.421875" style="120" bestFit="1" customWidth="1"/>
    <col min="9" max="9" width="23.00390625" style="120" bestFit="1" customWidth="1"/>
    <col min="10" max="10" width="14.8515625" style="120" customWidth="1"/>
    <col min="11" max="11" width="17.140625" style="120" customWidth="1"/>
    <col min="12" max="16384" width="9.140625" style="120" customWidth="1"/>
  </cols>
  <sheetData>
    <row r="3" ht="12.75">
      <c r="A3" s="120" t="s">
        <v>23</v>
      </c>
    </row>
    <row r="4" ht="12.75">
      <c r="A4" s="120" t="s">
        <v>24</v>
      </c>
    </row>
    <row r="7" spans="1:11" s="121" customFormat="1" ht="15.75">
      <c r="A7" s="233" t="s">
        <v>35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s="121" customFormat="1" ht="15.75">
      <c r="A8" s="233" t="s">
        <v>36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1" s="121" customFormat="1" ht="15.75">
      <c r="A9" s="234" t="s">
        <v>37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s="121" customFormat="1" ht="15.75">
      <c r="A10" s="234" t="s">
        <v>148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s="121" customFormat="1" ht="15.75">
      <c r="A11" s="122"/>
      <c r="B11" s="122"/>
      <c r="C11" s="123"/>
      <c r="D11" s="123"/>
      <c r="E11" s="122"/>
      <c r="F11" s="122"/>
      <c r="G11" s="122"/>
      <c r="H11" s="122"/>
      <c r="I11" s="123"/>
      <c r="J11" s="123"/>
      <c r="K11" s="123"/>
    </row>
    <row r="12" spans="1:11" s="121" customFormat="1" ht="15.75">
      <c r="A12" s="235"/>
      <c r="B12" s="237" t="s">
        <v>1</v>
      </c>
      <c r="C12" s="239" t="s">
        <v>149</v>
      </c>
      <c r="D12" s="240"/>
      <c r="E12" s="240"/>
      <c r="F12" s="241" t="s">
        <v>28</v>
      </c>
      <c r="G12" s="241"/>
      <c r="H12" s="241"/>
      <c r="I12" s="124" t="s">
        <v>16</v>
      </c>
      <c r="J12" s="124" t="s">
        <v>17</v>
      </c>
      <c r="K12" s="124" t="s">
        <v>12</v>
      </c>
    </row>
    <row r="13" spans="1:11" s="121" customFormat="1" ht="15.75">
      <c r="A13" s="236"/>
      <c r="B13" s="238"/>
      <c r="C13" s="125" t="s">
        <v>7</v>
      </c>
      <c r="D13" s="126" t="s">
        <v>8</v>
      </c>
      <c r="E13" s="126" t="s">
        <v>9</v>
      </c>
      <c r="F13" s="127" t="s">
        <v>7</v>
      </c>
      <c r="G13" s="127" t="s">
        <v>8</v>
      </c>
      <c r="H13" s="127" t="s">
        <v>9</v>
      </c>
      <c r="I13" s="128" t="s">
        <v>9</v>
      </c>
      <c r="J13" s="128" t="s">
        <v>11</v>
      </c>
      <c r="K13" s="128" t="s">
        <v>13</v>
      </c>
    </row>
    <row r="14" spans="1:11" s="121" customFormat="1" ht="15.75">
      <c r="A14" s="129"/>
      <c r="B14" s="130"/>
      <c r="C14" s="131"/>
      <c r="D14" s="132"/>
      <c r="E14" s="129"/>
      <c r="F14" s="133"/>
      <c r="G14" s="134"/>
      <c r="H14" s="129"/>
      <c r="I14" s="135"/>
      <c r="J14" s="135"/>
      <c r="K14" s="135"/>
    </row>
    <row r="15" spans="1:11" s="121" customFormat="1" ht="15.75">
      <c r="A15" s="129"/>
      <c r="B15" s="130" t="s">
        <v>38</v>
      </c>
      <c r="C15" s="131"/>
      <c r="D15" s="132"/>
      <c r="E15" s="129"/>
      <c r="F15" s="136"/>
      <c r="G15" s="137"/>
      <c r="H15" s="137"/>
      <c r="I15" s="138"/>
      <c r="J15" s="138"/>
      <c r="K15" s="138"/>
    </row>
    <row r="16" spans="1:11" s="121" customFormat="1" ht="15.75">
      <c r="A16" s="129"/>
      <c r="B16" s="130"/>
      <c r="C16" s="131"/>
      <c r="D16" s="132"/>
      <c r="E16" s="129"/>
      <c r="F16" s="133"/>
      <c r="G16" s="134"/>
      <c r="H16" s="129"/>
      <c r="I16" s="131"/>
      <c r="J16" s="139"/>
      <c r="K16" s="140"/>
    </row>
    <row r="17" spans="1:11" s="121" customFormat="1" ht="47.25">
      <c r="A17" s="141" t="s">
        <v>39</v>
      </c>
      <c r="B17" s="142" t="s">
        <v>40</v>
      </c>
      <c r="C17" s="143"/>
      <c r="D17" s="144"/>
      <c r="E17" s="145"/>
      <c r="F17" s="146"/>
      <c r="G17" s="134"/>
      <c r="H17" s="129"/>
      <c r="I17" s="131"/>
      <c r="J17" s="139"/>
      <c r="K17" s="140"/>
    </row>
    <row r="18" spans="1:11" s="154" customFormat="1" ht="31.5">
      <c r="A18" s="147">
        <v>1.1</v>
      </c>
      <c r="B18" s="148" t="s">
        <v>41</v>
      </c>
      <c r="C18" s="149">
        <f>'[1]Detail by component&amp;categor (3)'!G11</f>
        <v>0</v>
      </c>
      <c r="D18" s="149">
        <f>'[1]Detail by component&amp;categor (3)'!F11</f>
        <v>1220000</v>
      </c>
      <c r="E18" s="150">
        <f>C18-D18</f>
        <v>-1220000</v>
      </c>
      <c r="F18" s="150">
        <f>0+C18</f>
        <v>0</v>
      </c>
      <c r="G18" s="151">
        <f>1525000+D18</f>
        <v>2745000</v>
      </c>
      <c r="H18" s="150">
        <f>F18-G18</f>
        <v>-2745000</v>
      </c>
      <c r="I18" s="152"/>
      <c r="J18" s="151"/>
      <c r="K18" s="153"/>
    </row>
    <row r="19" spans="1:11" s="121" customFormat="1" ht="15.75">
      <c r="A19" s="155">
        <v>1.2</v>
      </c>
      <c r="B19" s="148" t="s">
        <v>42</v>
      </c>
      <c r="C19" s="156">
        <f>'[1]Detail by component&amp;categor (3)'!G18</f>
        <v>16304244.88</v>
      </c>
      <c r="D19" s="156">
        <f>'[1]Detail by component&amp;categor (3)'!F18</f>
        <v>4117500</v>
      </c>
      <c r="E19" s="150">
        <f aca="true" t="shared" si="0" ref="E19:E29">C19-D19</f>
        <v>12186744.88</v>
      </c>
      <c r="F19" s="150">
        <f>5102405.69+C19</f>
        <v>21406650.57</v>
      </c>
      <c r="G19" s="151">
        <f>4270000+D19</f>
        <v>8387500</v>
      </c>
      <c r="H19" s="150">
        <f aca="true" t="shared" si="1" ref="H19:H29">F19-G19</f>
        <v>13019150.57</v>
      </c>
      <c r="I19" s="152"/>
      <c r="J19" s="151"/>
      <c r="K19" s="153"/>
    </row>
    <row r="20" spans="1:11" s="121" customFormat="1" ht="15.75">
      <c r="A20" s="155">
        <v>1.3</v>
      </c>
      <c r="B20" s="148" t="s">
        <v>43</v>
      </c>
      <c r="C20" s="157">
        <f>'[1]Detail by component&amp;categor (3)'!G21</f>
        <v>0</v>
      </c>
      <c r="D20" s="157">
        <f>'[1]Detail by component&amp;categor (3)'!F21</f>
        <v>0</v>
      </c>
      <c r="E20" s="150">
        <f t="shared" si="0"/>
        <v>0</v>
      </c>
      <c r="F20" s="150">
        <f>0+C20</f>
        <v>0</v>
      </c>
      <c r="G20" s="151">
        <f>305000+D20</f>
        <v>305000</v>
      </c>
      <c r="H20" s="150">
        <f t="shared" si="1"/>
        <v>-305000</v>
      </c>
      <c r="I20" s="152"/>
      <c r="J20" s="151"/>
      <c r="K20" s="153"/>
    </row>
    <row r="21" spans="1:11" s="121" customFormat="1" ht="15.75">
      <c r="A21" s="155">
        <v>1.4</v>
      </c>
      <c r="B21" s="148" t="s">
        <v>44</v>
      </c>
      <c r="C21" s="157">
        <f>'[1]Detail by component&amp;categor (3)'!G26</f>
        <v>1619200</v>
      </c>
      <c r="D21" s="157">
        <f>'[1]Detail by component&amp;categor (3)'!F26</f>
        <v>11285000</v>
      </c>
      <c r="E21" s="150">
        <f t="shared" si="0"/>
        <v>-9665800</v>
      </c>
      <c r="F21" s="150">
        <f>435090+C21</f>
        <v>2054290</v>
      </c>
      <c r="G21" s="151">
        <f>15097500+D21</f>
        <v>26382500</v>
      </c>
      <c r="H21" s="150">
        <f t="shared" si="1"/>
        <v>-24328210</v>
      </c>
      <c r="I21" s="152"/>
      <c r="J21" s="151"/>
      <c r="K21" s="153"/>
    </row>
    <row r="22" spans="1:11" s="121" customFormat="1" ht="15.75">
      <c r="A22" s="155">
        <v>1.5</v>
      </c>
      <c r="B22" s="148" t="s">
        <v>45</v>
      </c>
      <c r="C22" s="157">
        <f>'[1]Detail by component&amp;categor (3)'!G29</f>
        <v>0</v>
      </c>
      <c r="D22" s="157">
        <f>'[1]Detail by component&amp;categor (3)'!F29</f>
        <v>0</v>
      </c>
      <c r="E22" s="150">
        <f t="shared" si="0"/>
        <v>0</v>
      </c>
      <c r="F22" s="150">
        <f>0+C22</f>
        <v>0</v>
      </c>
      <c r="G22" s="151">
        <f>0+D22</f>
        <v>0</v>
      </c>
      <c r="H22" s="150">
        <f t="shared" si="1"/>
        <v>0</v>
      </c>
      <c r="I22" s="152"/>
      <c r="J22" s="151"/>
      <c r="K22" s="153"/>
    </row>
    <row r="23" spans="1:11" s="121" customFormat="1" ht="15.75">
      <c r="A23" s="155">
        <v>1.6</v>
      </c>
      <c r="B23" s="148" t="s">
        <v>46</v>
      </c>
      <c r="C23" s="157">
        <f>'[1]Detail by component&amp;categor (3)'!G33</f>
        <v>956000</v>
      </c>
      <c r="D23" s="157">
        <f>'[1]Detail by component&amp;categor (3)'!F33</f>
        <v>11437500</v>
      </c>
      <c r="E23" s="150">
        <f t="shared" si="0"/>
        <v>-10481500</v>
      </c>
      <c r="F23" s="150">
        <f>1808910+C23</f>
        <v>2764910</v>
      </c>
      <c r="G23" s="151">
        <f>11437500+D23</f>
        <v>22875000</v>
      </c>
      <c r="H23" s="150">
        <f t="shared" si="1"/>
        <v>-20110090</v>
      </c>
      <c r="I23" s="152"/>
      <c r="J23" s="151"/>
      <c r="K23" s="153"/>
    </row>
    <row r="24" spans="1:11" s="121" customFormat="1" ht="15.75">
      <c r="A24" s="155">
        <v>1.7</v>
      </c>
      <c r="B24" s="148" t="s">
        <v>47</v>
      </c>
      <c r="C24" s="158">
        <f>'[1]Detail by component&amp;categor (3)'!G39</f>
        <v>365750</v>
      </c>
      <c r="D24" s="158">
        <f>'[1]Detail by component&amp;categor (3)'!F39</f>
        <v>11285000</v>
      </c>
      <c r="E24" s="150">
        <f t="shared" si="0"/>
        <v>-10919250</v>
      </c>
      <c r="F24" s="150">
        <f>28170000+C24</f>
        <v>28535750</v>
      </c>
      <c r="G24" s="151">
        <f>92262500+D24</f>
        <v>103547500</v>
      </c>
      <c r="H24" s="150">
        <f t="shared" si="1"/>
        <v>-75011750</v>
      </c>
      <c r="I24" s="152"/>
      <c r="J24" s="151"/>
      <c r="K24" s="153"/>
    </row>
    <row r="25" spans="1:11" s="121" customFormat="1" ht="15.75">
      <c r="A25" s="155">
        <v>1.8</v>
      </c>
      <c r="B25" s="148" t="s">
        <v>48</v>
      </c>
      <c r="C25" s="158">
        <f>'[1]Detail by component&amp;categor (3)'!G44</f>
        <v>864500</v>
      </c>
      <c r="D25" s="158">
        <f>'[1]Detail by component&amp;categor (3)'!F44</f>
        <v>2135000</v>
      </c>
      <c r="E25" s="150">
        <f t="shared" si="0"/>
        <v>-1270500</v>
      </c>
      <c r="F25" s="150">
        <f>520000+C25</f>
        <v>1384500</v>
      </c>
      <c r="G25" s="151">
        <f>4270000+D25</f>
        <v>6405000</v>
      </c>
      <c r="H25" s="150">
        <f t="shared" si="1"/>
        <v>-5020500</v>
      </c>
      <c r="I25" s="152"/>
      <c r="J25" s="151"/>
      <c r="K25" s="153"/>
    </row>
    <row r="26" spans="1:11" s="121" customFormat="1" ht="15.75">
      <c r="A26" s="155">
        <v>1.9</v>
      </c>
      <c r="B26" s="148" t="s">
        <v>49</v>
      </c>
      <c r="C26" s="158">
        <f>'[1]Detail by component&amp;categor (3)'!G52</f>
        <v>13123599.879999999</v>
      </c>
      <c r="D26" s="158">
        <f>'[1]Detail by component&amp;categor (3)'!F52</f>
        <v>9912500</v>
      </c>
      <c r="E26" s="150">
        <f t="shared" si="0"/>
        <v>3211099.879999999</v>
      </c>
      <c r="F26" s="150">
        <f>16266729.36+C26</f>
        <v>29390329.24</v>
      </c>
      <c r="G26" s="151">
        <f>22112500+D26</f>
        <v>32025000</v>
      </c>
      <c r="H26" s="150">
        <f t="shared" si="1"/>
        <v>-2634670.7600000016</v>
      </c>
      <c r="I26" s="152"/>
      <c r="J26" s="151"/>
      <c r="K26" s="153"/>
    </row>
    <row r="27" spans="1:11" s="121" customFormat="1" ht="15.75">
      <c r="A27" s="159" t="s">
        <v>50</v>
      </c>
      <c r="B27" s="148" t="s">
        <v>51</v>
      </c>
      <c r="C27" s="158">
        <f>'[1]Detail by component&amp;categor (3)'!G56</f>
        <v>0</v>
      </c>
      <c r="D27" s="158">
        <f>'[1]Detail by component&amp;categor (3)'!F56</f>
        <v>0</v>
      </c>
      <c r="E27" s="150">
        <f t="shared" si="0"/>
        <v>0</v>
      </c>
      <c r="F27" s="150">
        <f>0+C27</f>
        <v>0</v>
      </c>
      <c r="G27" s="151">
        <f>0+D27</f>
        <v>0</v>
      </c>
      <c r="H27" s="150">
        <f t="shared" si="1"/>
        <v>0</v>
      </c>
      <c r="I27" s="152"/>
      <c r="J27" s="151"/>
      <c r="K27" s="153"/>
    </row>
    <row r="28" spans="1:11" s="121" customFormat="1" ht="15.75">
      <c r="A28" s="155">
        <v>1.11</v>
      </c>
      <c r="B28" s="148" t="s">
        <v>52</v>
      </c>
      <c r="C28" s="158">
        <f>'[1]Detail by component&amp;categor (3)'!G61</f>
        <v>30852984</v>
      </c>
      <c r="D28" s="158">
        <f>'[1]Detail by component&amp;categor (3)'!F61</f>
        <v>11285000</v>
      </c>
      <c r="E28" s="150">
        <f t="shared" si="0"/>
        <v>19567984</v>
      </c>
      <c r="F28" s="150">
        <f>4775520+C28</f>
        <v>35628504</v>
      </c>
      <c r="G28" s="151">
        <f>47580000+D28</f>
        <v>58865000</v>
      </c>
      <c r="H28" s="150">
        <f t="shared" si="1"/>
        <v>-23236496</v>
      </c>
      <c r="I28" s="152"/>
      <c r="J28" s="151"/>
      <c r="K28" s="153"/>
    </row>
    <row r="29" spans="1:11" s="121" customFormat="1" ht="15.75">
      <c r="A29" s="155">
        <v>1.12</v>
      </c>
      <c r="B29" s="148" t="s">
        <v>53</v>
      </c>
      <c r="C29" s="158">
        <f>'[1]Detail by component&amp;categor (3)'!G64</f>
        <v>83844850</v>
      </c>
      <c r="D29" s="158">
        <f>'[1]Detail by component&amp;categor (3)'!F64</f>
        <v>12200000</v>
      </c>
      <c r="E29" s="150">
        <f t="shared" si="0"/>
        <v>71644850</v>
      </c>
      <c r="F29" s="150">
        <f>4181526.96+C29</f>
        <v>88026376.96</v>
      </c>
      <c r="G29" s="151">
        <f>24400000+D29</f>
        <v>36600000</v>
      </c>
      <c r="H29" s="150">
        <f t="shared" si="1"/>
        <v>51426376.95999999</v>
      </c>
      <c r="I29" s="152"/>
      <c r="J29" s="151"/>
      <c r="K29" s="153"/>
    </row>
    <row r="30" spans="1:11" s="164" customFormat="1" ht="15.75">
      <c r="A30" s="160"/>
      <c r="B30" s="161" t="s">
        <v>54</v>
      </c>
      <c r="C30" s="162">
        <f aca="true" t="shared" si="2" ref="C30:H30">SUM(C18:C29)</f>
        <v>147931128.76</v>
      </c>
      <c r="D30" s="162">
        <f t="shared" si="2"/>
        <v>74877500</v>
      </c>
      <c r="E30" s="162">
        <f t="shared" si="2"/>
        <v>73053628.76</v>
      </c>
      <c r="F30" s="162">
        <f t="shared" si="2"/>
        <v>209191310.76999998</v>
      </c>
      <c r="G30" s="162">
        <f t="shared" si="2"/>
        <v>298137500</v>
      </c>
      <c r="H30" s="162">
        <f t="shared" si="2"/>
        <v>-88946189.23</v>
      </c>
      <c r="I30" s="163"/>
      <c r="J30" s="151"/>
      <c r="K30" s="153"/>
    </row>
    <row r="31" spans="1:11" s="121" customFormat="1" ht="15.75">
      <c r="A31" s="165"/>
      <c r="B31" s="166"/>
      <c r="C31" s="167"/>
      <c r="D31" s="167"/>
      <c r="E31" s="168"/>
      <c r="F31" s="169"/>
      <c r="G31" s="170"/>
      <c r="H31" s="169"/>
      <c r="I31" s="167"/>
      <c r="J31" s="169"/>
      <c r="K31" s="171"/>
    </row>
    <row r="32" spans="1:11" s="121" customFormat="1" ht="47.25">
      <c r="A32" s="141" t="s">
        <v>55</v>
      </c>
      <c r="B32" s="142" t="s">
        <v>56</v>
      </c>
      <c r="C32" s="149"/>
      <c r="D32" s="149"/>
      <c r="E32" s="172"/>
      <c r="F32" s="151"/>
      <c r="G32" s="173"/>
      <c r="H32" s="151"/>
      <c r="I32" s="149"/>
      <c r="J32" s="151"/>
      <c r="K32" s="153"/>
    </row>
    <row r="33" spans="1:11" s="121" customFormat="1" ht="15.75">
      <c r="A33" s="155">
        <v>2.1</v>
      </c>
      <c r="B33" s="174" t="s">
        <v>102</v>
      </c>
      <c r="C33" s="175">
        <f>'[1]Detail by component&amp;categor (3)'!G88</f>
        <v>9122339</v>
      </c>
      <c r="D33" s="175">
        <v>7930000</v>
      </c>
      <c r="E33" s="150">
        <f>C33-D33</f>
        <v>1192339</v>
      </c>
      <c r="F33" s="150">
        <f>0+C33</f>
        <v>9122339</v>
      </c>
      <c r="G33" s="151">
        <f>11742500+D33</f>
        <v>19672500</v>
      </c>
      <c r="H33" s="150">
        <f>F33-G33</f>
        <v>-10550161</v>
      </c>
      <c r="I33" s="176"/>
      <c r="J33" s="151"/>
      <c r="K33" s="153"/>
    </row>
    <row r="34" spans="1:11" s="121" customFormat="1" ht="15.75">
      <c r="A34" s="155">
        <v>2.2</v>
      </c>
      <c r="B34" s="174" t="s">
        <v>57</v>
      </c>
      <c r="C34" s="158">
        <f>'[1]Detail by component&amp;categor (3)'!G92</f>
        <v>0</v>
      </c>
      <c r="D34" s="158">
        <f>'[1]Detail by component&amp;categor (3)'!F92</f>
        <v>1220000</v>
      </c>
      <c r="E34" s="150">
        <f aca="true" t="shared" si="3" ref="E34:E40">C34-D34</f>
        <v>-1220000</v>
      </c>
      <c r="F34" s="150">
        <f>0+C34</f>
        <v>0</v>
      </c>
      <c r="G34" s="151">
        <f>610000+D34</f>
        <v>1830000</v>
      </c>
      <c r="H34" s="150">
        <f aca="true" t="shared" si="4" ref="H34:H40">F34-G34</f>
        <v>-1830000</v>
      </c>
      <c r="I34" s="149"/>
      <c r="J34" s="151"/>
      <c r="K34" s="153"/>
    </row>
    <row r="35" spans="1:11" s="121" customFormat="1" ht="15.75">
      <c r="A35" s="155">
        <v>2.3</v>
      </c>
      <c r="B35" s="174" t="s">
        <v>103</v>
      </c>
      <c r="C35" s="158">
        <f>'[1]Detail by component&amp;categor (3)'!G97</f>
        <v>7017549.76</v>
      </c>
      <c r="D35" s="158">
        <f>'[1]Detail by component&amp;categor (3)'!F97</f>
        <v>3965000</v>
      </c>
      <c r="E35" s="150">
        <f t="shared" si="3"/>
        <v>3052549.76</v>
      </c>
      <c r="F35" s="150">
        <f>3555690+C35</f>
        <v>10573239.76</v>
      </c>
      <c r="G35" s="151">
        <f>9455000+D35</f>
        <v>13420000</v>
      </c>
      <c r="H35" s="150">
        <f t="shared" si="4"/>
        <v>-2846760.24</v>
      </c>
      <c r="I35" s="152"/>
      <c r="J35" s="151"/>
      <c r="K35" s="153"/>
    </row>
    <row r="36" spans="1:11" s="121" customFormat="1" ht="15.75">
      <c r="A36" s="155">
        <v>2.4</v>
      </c>
      <c r="B36" s="174" t="s">
        <v>104</v>
      </c>
      <c r="C36" s="158">
        <f>'[1]Detail by component&amp;categor (3)'!G103</f>
        <v>236628.4</v>
      </c>
      <c r="D36" s="158">
        <f>'[1]Detail by component&amp;categor (3)'!F103</f>
        <v>4575000</v>
      </c>
      <c r="E36" s="150">
        <f t="shared" si="3"/>
        <v>-4338371.6</v>
      </c>
      <c r="F36" s="150">
        <f>79200+C36</f>
        <v>315828.4</v>
      </c>
      <c r="G36" s="151">
        <f>25925000+D36</f>
        <v>30500000</v>
      </c>
      <c r="H36" s="150">
        <f t="shared" si="4"/>
        <v>-30184171.6</v>
      </c>
      <c r="I36" s="152"/>
      <c r="J36" s="151"/>
      <c r="K36" s="153"/>
    </row>
    <row r="37" spans="1:11" s="121" customFormat="1" ht="15.75">
      <c r="A37" s="155">
        <v>2.5</v>
      </c>
      <c r="B37" s="174" t="s">
        <v>58</v>
      </c>
      <c r="C37" s="158">
        <f>'[1]Detail by component&amp;categor (3)'!G109</f>
        <v>0</v>
      </c>
      <c r="D37" s="158">
        <f>'[1]Detail by component&amp;categor (3)'!F109</f>
        <v>2135000</v>
      </c>
      <c r="E37" s="150">
        <f t="shared" si="3"/>
        <v>-2135000</v>
      </c>
      <c r="F37" s="150">
        <f>175620+C37</f>
        <v>175620</v>
      </c>
      <c r="G37" s="151">
        <f>4880000+D37</f>
        <v>7015000</v>
      </c>
      <c r="H37" s="150">
        <f t="shared" si="4"/>
        <v>-6839380</v>
      </c>
      <c r="I37" s="152"/>
      <c r="J37" s="151"/>
      <c r="K37" s="153"/>
    </row>
    <row r="38" spans="1:11" s="121" customFormat="1" ht="15.75">
      <c r="A38" s="155">
        <v>2.6</v>
      </c>
      <c r="B38" s="174" t="s">
        <v>59</v>
      </c>
      <c r="C38" s="158">
        <f>'[1]Detail by component&amp;categor (3)'!G114</f>
        <v>40556836.03</v>
      </c>
      <c r="D38" s="158">
        <f>'[1]Detail by component&amp;categor (3)'!F114</f>
        <v>1982500</v>
      </c>
      <c r="E38" s="150">
        <f t="shared" si="3"/>
        <v>38574336.03</v>
      </c>
      <c r="F38" s="150">
        <f>5410261.51+C38</f>
        <v>45967097.54</v>
      </c>
      <c r="G38" s="151">
        <f>9912500+D38</f>
        <v>11895000</v>
      </c>
      <c r="H38" s="150">
        <f t="shared" si="4"/>
        <v>34072097.54</v>
      </c>
      <c r="I38" s="152"/>
      <c r="J38" s="151"/>
      <c r="K38" s="153"/>
    </row>
    <row r="39" spans="1:11" s="121" customFormat="1" ht="15.75">
      <c r="A39" s="155">
        <v>2.7</v>
      </c>
      <c r="B39" s="174" t="s">
        <v>60</v>
      </c>
      <c r="C39" s="158">
        <f>'[1]Detail by component&amp;categor (3)'!G117</f>
        <v>0</v>
      </c>
      <c r="D39" s="158">
        <f>'[1]Detail by component&amp;categor (3)'!F117</f>
        <v>366000</v>
      </c>
      <c r="E39" s="150">
        <f t="shared" si="3"/>
        <v>-366000</v>
      </c>
      <c r="F39" s="150">
        <f>0+C39</f>
        <v>0</v>
      </c>
      <c r="G39" s="151">
        <f>366000+D39</f>
        <v>732000</v>
      </c>
      <c r="H39" s="150">
        <f t="shared" si="4"/>
        <v>-732000</v>
      </c>
      <c r="I39" s="152"/>
      <c r="J39" s="151"/>
      <c r="K39" s="153"/>
    </row>
    <row r="40" spans="1:11" s="121" customFormat="1" ht="15.75">
      <c r="A40" s="155">
        <v>2.8</v>
      </c>
      <c r="B40" s="174" t="s">
        <v>105</v>
      </c>
      <c r="C40" s="158">
        <f>'[1]Detail by component&amp;categor (3)'!G121</f>
        <v>0</v>
      </c>
      <c r="D40" s="158">
        <f>'[1]Detail by component&amp;categor (3)'!F121</f>
        <v>2135000</v>
      </c>
      <c r="E40" s="150">
        <f t="shared" si="3"/>
        <v>-2135000</v>
      </c>
      <c r="F40" s="150">
        <f>950000+C40</f>
        <v>950000</v>
      </c>
      <c r="G40" s="151">
        <f>9150000+D40</f>
        <v>11285000</v>
      </c>
      <c r="H40" s="150">
        <f t="shared" si="4"/>
        <v>-10335000</v>
      </c>
      <c r="I40" s="152"/>
      <c r="J40" s="151"/>
      <c r="K40" s="153"/>
    </row>
    <row r="41" spans="1:11" s="164" customFormat="1" ht="15.75">
      <c r="A41" s="160"/>
      <c r="B41" s="177" t="s">
        <v>54</v>
      </c>
      <c r="C41" s="162">
        <f aca="true" t="shared" si="5" ref="C41:H41">SUM(C33:C40)</f>
        <v>56933353.19</v>
      </c>
      <c r="D41" s="162">
        <f t="shared" si="5"/>
        <v>24308500</v>
      </c>
      <c r="E41" s="162">
        <f t="shared" si="5"/>
        <v>32624853.189999998</v>
      </c>
      <c r="F41" s="162">
        <f t="shared" si="5"/>
        <v>67104124.699999996</v>
      </c>
      <c r="G41" s="162">
        <f t="shared" si="5"/>
        <v>96349500</v>
      </c>
      <c r="H41" s="162">
        <f t="shared" si="5"/>
        <v>-29245375.300000004</v>
      </c>
      <c r="I41" s="163"/>
      <c r="J41" s="151"/>
      <c r="K41" s="153"/>
    </row>
    <row r="42" spans="1:11" s="121" customFormat="1" ht="15.75">
      <c r="A42" s="165"/>
      <c r="B42" s="178"/>
      <c r="C42" s="167"/>
      <c r="D42" s="167"/>
      <c r="E42" s="168"/>
      <c r="F42" s="169"/>
      <c r="G42" s="170"/>
      <c r="H42" s="169"/>
      <c r="I42" s="167"/>
      <c r="J42" s="169"/>
      <c r="K42" s="171"/>
    </row>
    <row r="43" spans="1:11" s="121" customFormat="1" ht="47.25">
      <c r="A43" s="141" t="s">
        <v>61</v>
      </c>
      <c r="B43" s="142" t="s">
        <v>62</v>
      </c>
      <c r="C43" s="149"/>
      <c r="D43" s="149"/>
      <c r="E43" s="172"/>
      <c r="F43" s="151"/>
      <c r="G43" s="173"/>
      <c r="H43" s="151"/>
      <c r="I43" s="149"/>
      <c r="J43" s="151"/>
      <c r="K43" s="153"/>
    </row>
    <row r="44" spans="1:11" s="121" customFormat="1" ht="15.75">
      <c r="A44" s="179">
        <v>3.1</v>
      </c>
      <c r="B44" s="148" t="s">
        <v>63</v>
      </c>
      <c r="C44" s="180">
        <f>'[1]Detail by component&amp;categor (3)'!G127</f>
        <v>3278119</v>
      </c>
      <c r="D44" s="180">
        <f>'[1]Detail by component&amp;categor (3)'!F127</f>
        <v>1525000</v>
      </c>
      <c r="E44" s="151">
        <f>C44-D44</f>
        <v>1753119</v>
      </c>
      <c r="F44" s="150">
        <f aca="true" t="shared" si="6" ref="F44:F51">0+C44</f>
        <v>3278119</v>
      </c>
      <c r="G44" s="151">
        <f>152500+D44</f>
        <v>1677500</v>
      </c>
      <c r="H44" s="151">
        <f>F44-G44</f>
        <v>1600619</v>
      </c>
      <c r="I44" s="152"/>
      <c r="J44" s="151"/>
      <c r="K44" s="153"/>
    </row>
    <row r="45" spans="1:11" s="121" customFormat="1" ht="15.75">
      <c r="A45" s="179">
        <v>3.2</v>
      </c>
      <c r="B45" s="148" t="s">
        <v>64</v>
      </c>
      <c r="C45" s="158">
        <f>'[1]Detail by component&amp;categor (3)'!G132</f>
        <v>0</v>
      </c>
      <c r="D45" s="158">
        <f>'[1]Detail by component&amp;categor (3)'!F132</f>
        <v>0</v>
      </c>
      <c r="E45" s="151">
        <f aca="true" t="shared" si="7" ref="E45:E51">C45-D45</f>
        <v>0</v>
      </c>
      <c r="F45" s="150">
        <f t="shared" si="6"/>
        <v>0</v>
      </c>
      <c r="G45" s="151">
        <f>3431250+D45</f>
        <v>3431250</v>
      </c>
      <c r="H45" s="151">
        <f aca="true" t="shared" si="8" ref="H45:H51">F45-G45</f>
        <v>-3431250</v>
      </c>
      <c r="I45" s="152"/>
      <c r="J45" s="151"/>
      <c r="K45" s="153"/>
    </row>
    <row r="46" spans="1:11" s="121" customFormat="1" ht="15.75">
      <c r="A46" s="179">
        <v>3.3</v>
      </c>
      <c r="B46" s="148" t="s">
        <v>65</v>
      </c>
      <c r="C46" s="158">
        <f>'[1]Detail by component&amp;categor (3)'!G137</f>
        <v>0</v>
      </c>
      <c r="D46" s="158">
        <f>'[1]Detail by component&amp;categor (3)'!F137</f>
        <v>7167500</v>
      </c>
      <c r="E46" s="151">
        <f t="shared" si="7"/>
        <v>-7167500</v>
      </c>
      <c r="F46" s="150">
        <f t="shared" si="6"/>
        <v>0</v>
      </c>
      <c r="G46" s="151">
        <f>0+D46</f>
        <v>7167500</v>
      </c>
      <c r="H46" s="151">
        <f t="shared" si="8"/>
        <v>-7167500</v>
      </c>
      <c r="I46" s="152"/>
      <c r="J46" s="151"/>
      <c r="K46" s="153"/>
    </row>
    <row r="47" spans="1:11" s="121" customFormat="1" ht="15.75">
      <c r="A47" s="179">
        <v>3.4</v>
      </c>
      <c r="B47" s="148" t="s">
        <v>66</v>
      </c>
      <c r="C47" s="158">
        <f>'[1]Detail by component&amp;categor (3)'!G144</f>
        <v>4903650</v>
      </c>
      <c r="D47" s="158">
        <f>'[1]Detail by component&amp;categor (3)'!F144</f>
        <v>2287500</v>
      </c>
      <c r="E47" s="151">
        <f t="shared" si="7"/>
        <v>2616150</v>
      </c>
      <c r="F47" s="150">
        <f t="shared" si="6"/>
        <v>4903650</v>
      </c>
      <c r="G47" s="151">
        <f>0+D47</f>
        <v>2287500</v>
      </c>
      <c r="H47" s="151">
        <f t="shared" si="8"/>
        <v>2616150</v>
      </c>
      <c r="I47" s="152"/>
      <c r="J47" s="151"/>
      <c r="K47" s="153"/>
    </row>
    <row r="48" spans="1:11" s="121" customFormat="1" ht="31.5">
      <c r="A48" s="179">
        <v>3.5</v>
      </c>
      <c r="B48" s="181" t="s">
        <v>67</v>
      </c>
      <c r="C48" s="158">
        <f>'[1]Detail by component&amp;categor (3)'!G155</f>
        <v>0</v>
      </c>
      <c r="D48" s="158">
        <f>'[1]Detail by component&amp;categor (3)'!F155</f>
        <v>4803750</v>
      </c>
      <c r="E48" s="151">
        <f t="shared" si="7"/>
        <v>-4803750</v>
      </c>
      <c r="F48" s="150">
        <f t="shared" si="6"/>
        <v>0</v>
      </c>
      <c r="G48" s="151">
        <f>0+D48</f>
        <v>4803750</v>
      </c>
      <c r="H48" s="151">
        <f t="shared" si="8"/>
        <v>-4803750</v>
      </c>
      <c r="I48" s="152"/>
      <c r="J48" s="151"/>
      <c r="K48" s="153"/>
    </row>
    <row r="49" spans="1:11" s="121" customFormat="1" ht="15.75">
      <c r="A49" s="179">
        <v>3.6</v>
      </c>
      <c r="B49" s="181" t="s">
        <v>68</v>
      </c>
      <c r="C49" s="158">
        <f>'[1]Detail by component&amp;categor (3)'!G166</f>
        <v>0</v>
      </c>
      <c r="D49" s="158">
        <f>'[1]Detail by component&amp;categor (3)'!F166</f>
        <v>0</v>
      </c>
      <c r="E49" s="151">
        <f t="shared" si="7"/>
        <v>0</v>
      </c>
      <c r="F49" s="150">
        <f t="shared" si="6"/>
        <v>0</v>
      </c>
      <c r="G49" s="151">
        <f>0+D49</f>
        <v>0</v>
      </c>
      <c r="H49" s="151">
        <f t="shared" si="8"/>
        <v>0</v>
      </c>
      <c r="I49" s="149"/>
      <c r="J49" s="151"/>
      <c r="K49" s="153"/>
    </row>
    <row r="50" spans="1:11" s="121" customFormat="1" ht="15.75">
      <c r="A50" s="179">
        <v>3.7</v>
      </c>
      <c r="B50" s="181" t="s">
        <v>69</v>
      </c>
      <c r="C50" s="149">
        <f>'[1]Detail by component&amp;categor (3)'!G167</f>
        <v>0</v>
      </c>
      <c r="D50" s="149">
        <f>'[1]Detail by component&amp;categor (3)'!F167</f>
        <v>0</v>
      </c>
      <c r="E50" s="151">
        <f t="shared" si="7"/>
        <v>0</v>
      </c>
      <c r="F50" s="150">
        <f t="shared" si="6"/>
        <v>0</v>
      </c>
      <c r="G50" s="151">
        <f>0+D50</f>
        <v>0</v>
      </c>
      <c r="H50" s="151">
        <f t="shared" si="8"/>
        <v>0</v>
      </c>
      <c r="I50" s="149"/>
      <c r="J50" s="151"/>
      <c r="K50" s="153"/>
    </row>
    <row r="51" spans="1:11" s="121" customFormat="1" ht="15.75">
      <c r="A51" s="179">
        <v>3.8</v>
      </c>
      <c r="B51" s="181" t="s">
        <v>70</v>
      </c>
      <c r="C51" s="158">
        <f>'[1]Detail by component&amp;categor (3)'!G181</f>
        <v>0</v>
      </c>
      <c r="D51" s="158">
        <f>'[1]Detail by component&amp;categor (3)'!F181</f>
        <v>11056250</v>
      </c>
      <c r="E51" s="151">
        <f t="shared" si="7"/>
        <v>-11056250</v>
      </c>
      <c r="F51" s="150">
        <f t="shared" si="6"/>
        <v>0</v>
      </c>
      <c r="G51" s="151">
        <f>9531250+D51</f>
        <v>20587500</v>
      </c>
      <c r="H51" s="151">
        <f t="shared" si="8"/>
        <v>-20587500</v>
      </c>
      <c r="I51" s="152"/>
      <c r="J51" s="151"/>
      <c r="K51" s="153"/>
    </row>
    <row r="52" spans="1:11" s="164" customFormat="1" ht="15.75">
      <c r="A52" s="182"/>
      <c r="B52" s="183" t="s">
        <v>54</v>
      </c>
      <c r="C52" s="162">
        <f aca="true" t="shared" si="9" ref="C52:H52">SUM(C44:C51)</f>
        <v>8181769</v>
      </c>
      <c r="D52" s="162">
        <f t="shared" si="9"/>
        <v>26840000</v>
      </c>
      <c r="E52" s="162">
        <f t="shared" si="9"/>
        <v>-18658231</v>
      </c>
      <c r="F52" s="162">
        <f t="shared" si="9"/>
        <v>8181769</v>
      </c>
      <c r="G52" s="162">
        <f t="shared" si="9"/>
        <v>39955000</v>
      </c>
      <c r="H52" s="162">
        <f t="shared" si="9"/>
        <v>-31773231</v>
      </c>
      <c r="I52" s="163"/>
      <c r="J52" s="151"/>
      <c r="K52" s="153"/>
    </row>
    <row r="53" spans="1:11" s="121" customFormat="1" ht="15.75">
      <c r="A53" s="165"/>
      <c r="B53" s="178"/>
      <c r="C53" s="167"/>
      <c r="D53" s="167"/>
      <c r="E53" s="168"/>
      <c r="F53" s="169"/>
      <c r="G53" s="170"/>
      <c r="H53" s="169"/>
      <c r="I53" s="167"/>
      <c r="J53" s="169"/>
      <c r="K53" s="171"/>
    </row>
    <row r="54" spans="1:11" s="121" customFormat="1" ht="47.25">
      <c r="A54" s="141" t="s">
        <v>71</v>
      </c>
      <c r="B54" s="184" t="s">
        <v>72</v>
      </c>
      <c r="C54" s="185"/>
      <c r="D54" s="186"/>
      <c r="E54" s="172"/>
      <c r="F54" s="151"/>
      <c r="G54" s="173"/>
      <c r="H54" s="151"/>
      <c r="I54" s="186"/>
      <c r="J54" s="151"/>
      <c r="K54" s="153"/>
    </row>
    <row r="55" spans="1:11" s="121" customFormat="1" ht="15.75">
      <c r="A55" s="179">
        <v>4.1</v>
      </c>
      <c r="B55" s="181" t="s">
        <v>73</v>
      </c>
      <c r="C55" s="158">
        <f>'[1]Detail by component&amp;categor (3)'!G189</f>
        <v>4252280</v>
      </c>
      <c r="D55" s="158">
        <f>'[1]Detail by component&amp;categor (3)'!F189</f>
        <v>10675000</v>
      </c>
      <c r="E55" s="151">
        <f>C55-D55</f>
        <v>-6422720</v>
      </c>
      <c r="F55" s="150">
        <f>1184280+C55</f>
        <v>5436560</v>
      </c>
      <c r="G55" s="151">
        <f>13115000+D55</f>
        <v>23790000</v>
      </c>
      <c r="H55" s="151">
        <f>F55-G55</f>
        <v>-18353440</v>
      </c>
      <c r="I55" s="152"/>
      <c r="J55" s="151"/>
      <c r="K55" s="153"/>
    </row>
    <row r="56" spans="1:11" s="164" customFormat="1" ht="15.75">
      <c r="A56" s="182"/>
      <c r="B56" s="183" t="s">
        <v>54</v>
      </c>
      <c r="C56" s="162">
        <f aca="true" t="shared" si="10" ref="C56:H56">SUM(C55)</f>
        <v>4252280</v>
      </c>
      <c r="D56" s="162">
        <f t="shared" si="10"/>
        <v>10675000</v>
      </c>
      <c r="E56" s="162">
        <f t="shared" si="10"/>
        <v>-6422720</v>
      </c>
      <c r="F56" s="162">
        <f t="shared" si="10"/>
        <v>5436560</v>
      </c>
      <c r="G56" s="162">
        <f t="shared" si="10"/>
        <v>23790000</v>
      </c>
      <c r="H56" s="162">
        <f t="shared" si="10"/>
        <v>-18353440</v>
      </c>
      <c r="I56" s="163"/>
      <c r="J56" s="151"/>
      <c r="K56" s="153"/>
    </row>
    <row r="57" spans="1:11" s="121" customFormat="1" ht="15.75">
      <c r="A57" s="165"/>
      <c r="B57" s="178"/>
      <c r="C57" s="167"/>
      <c r="D57" s="167"/>
      <c r="E57" s="168"/>
      <c r="F57" s="169"/>
      <c r="G57" s="170"/>
      <c r="H57" s="169"/>
      <c r="I57" s="167"/>
      <c r="J57" s="169"/>
      <c r="K57" s="171"/>
    </row>
    <row r="58" spans="1:11" s="121" customFormat="1" ht="63">
      <c r="A58" s="141" t="s">
        <v>74</v>
      </c>
      <c r="B58" s="142" t="s">
        <v>75</v>
      </c>
      <c r="C58" s="149"/>
      <c r="D58" s="149"/>
      <c r="E58" s="172"/>
      <c r="F58" s="151"/>
      <c r="G58" s="173"/>
      <c r="H58" s="151"/>
      <c r="I58" s="149"/>
      <c r="J58" s="151"/>
      <c r="K58" s="153"/>
    </row>
    <row r="59" spans="1:11" s="121" customFormat="1" ht="15.75">
      <c r="A59" s="179">
        <v>5.1</v>
      </c>
      <c r="B59" s="181" t="s">
        <v>76</v>
      </c>
      <c r="C59" s="187">
        <f>'[1]Detail by component&amp;categor (3)'!G202</f>
        <v>8717963</v>
      </c>
      <c r="D59" s="188">
        <f>'[1]Detail by component&amp;categor (3)'!F202</f>
        <v>8418000</v>
      </c>
      <c r="E59" s="151">
        <f aca="true" t="shared" si="11" ref="E59:E64">C59-D59</f>
        <v>299963</v>
      </c>
      <c r="F59" s="150">
        <f>10291001.0467742+C59</f>
        <v>19008964.0467742</v>
      </c>
      <c r="G59" s="151">
        <f>10126000+D59</f>
        <v>18544000</v>
      </c>
      <c r="H59" s="151">
        <f aca="true" t="shared" si="12" ref="H59:H64">F59-G59</f>
        <v>464964.0467742011</v>
      </c>
      <c r="I59" s="152"/>
      <c r="J59" s="151"/>
      <c r="K59" s="153"/>
    </row>
    <row r="60" spans="1:11" s="121" customFormat="1" ht="15.75">
      <c r="A60" s="179">
        <v>5.2</v>
      </c>
      <c r="B60" s="181" t="s">
        <v>77</v>
      </c>
      <c r="C60" s="188">
        <f>'[1]Detail by component&amp;categor (3)'!G206</f>
        <v>355550</v>
      </c>
      <c r="D60" s="188">
        <f>'[1]Detail by component&amp;categor (3)'!F206</f>
        <v>2135000</v>
      </c>
      <c r="E60" s="151">
        <f t="shared" si="11"/>
        <v>-1779450</v>
      </c>
      <c r="F60" s="150">
        <f>586230+C60</f>
        <v>941780</v>
      </c>
      <c r="G60" s="151">
        <f>2363750+D60</f>
        <v>4498750</v>
      </c>
      <c r="H60" s="151">
        <f t="shared" si="12"/>
        <v>-3556970</v>
      </c>
      <c r="I60" s="152"/>
      <c r="J60" s="151"/>
      <c r="K60" s="153"/>
    </row>
    <row r="61" spans="1:11" s="121" customFormat="1" ht="15.75">
      <c r="A61" s="179">
        <v>5.3</v>
      </c>
      <c r="B61" s="181" t="s">
        <v>78</v>
      </c>
      <c r="C61" s="158">
        <f>'[1]Detail by component&amp;categor (3)'!G212</f>
        <v>0</v>
      </c>
      <c r="D61" s="158">
        <f>'[1]Detail by component&amp;categor (3)'!F212</f>
        <v>0</v>
      </c>
      <c r="E61" s="151">
        <f t="shared" si="11"/>
        <v>0</v>
      </c>
      <c r="F61" s="150">
        <f>0+C61</f>
        <v>0</v>
      </c>
      <c r="G61" s="151">
        <f>5673000+D61</f>
        <v>5673000</v>
      </c>
      <c r="H61" s="151">
        <f t="shared" si="12"/>
        <v>-5673000</v>
      </c>
      <c r="I61" s="152"/>
      <c r="J61" s="151"/>
      <c r="K61" s="153"/>
    </row>
    <row r="62" spans="1:11" s="121" customFormat="1" ht="15.75">
      <c r="A62" s="179">
        <v>5.4</v>
      </c>
      <c r="B62" s="181" t="s">
        <v>79</v>
      </c>
      <c r="C62" s="158">
        <f>'[1]Detail by component&amp;categor (3)'!G219</f>
        <v>4221797.6</v>
      </c>
      <c r="D62" s="158">
        <f>'[1]Detail by component&amp;categor (3)'!F219</f>
        <v>4346250</v>
      </c>
      <c r="E62" s="151">
        <f t="shared" si="11"/>
        <v>-124452.40000000037</v>
      </c>
      <c r="F62" s="150">
        <f>0+C62</f>
        <v>4221797.6</v>
      </c>
      <c r="G62" s="151">
        <f>4346250+D62</f>
        <v>8692500</v>
      </c>
      <c r="H62" s="151">
        <f t="shared" si="12"/>
        <v>-4470702.4</v>
      </c>
      <c r="I62" s="152"/>
      <c r="J62" s="151"/>
      <c r="K62" s="153"/>
    </row>
    <row r="63" spans="1:11" s="121" customFormat="1" ht="15.75">
      <c r="A63" s="179">
        <v>5.5</v>
      </c>
      <c r="B63" s="181" t="s">
        <v>80</v>
      </c>
      <c r="C63" s="158">
        <f>'[1]Detail by component&amp;categor (3)'!G226</f>
        <v>30181739.23</v>
      </c>
      <c r="D63" s="158">
        <f>'[1]Detail by component&amp;categor (3)'!F226</f>
        <v>16775000</v>
      </c>
      <c r="E63" s="151">
        <f t="shared" si="11"/>
        <v>13406739.23</v>
      </c>
      <c r="F63" s="150">
        <f>22226922.87+C63</f>
        <v>52408662.1</v>
      </c>
      <c r="G63" s="151">
        <f>15097500+D63</f>
        <v>31872500</v>
      </c>
      <c r="H63" s="151">
        <f t="shared" si="12"/>
        <v>20536162.1</v>
      </c>
      <c r="I63" s="152"/>
      <c r="J63" s="151"/>
      <c r="K63" s="153"/>
    </row>
    <row r="64" spans="1:11" s="121" customFormat="1" ht="15.75">
      <c r="A64" s="179">
        <v>5.6</v>
      </c>
      <c r="B64" s="181" t="s">
        <v>81</v>
      </c>
      <c r="C64" s="158">
        <f>'[1]Detail by component&amp;categor (3)'!G235</f>
        <v>5633061</v>
      </c>
      <c r="D64" s="158">
        <f>'[1]Detail by component&amp;categor (3)'!F235</f>
        <v>16317500</v>
      </c>
      <c r="E64" s="151">
        <f t="shared" si="11"/>
        <v>-10684439</v>
      </c>
      <c r="F64" s="150">
        <f>2694291.3+C64</f>
        <v>8327352.3</v>
      </c>
      <c r="G64" s="151">
        <f>13877500+D64</f>
        <v>30195000</v>
      </c>
      <c r="H64" s="151">
        <f t="shared" si="12"/>
        <v>-21867647.7</v>
      </c>
      <c r="I64" s="189"/>
      <c r="J64" s="151"/>
      <c r="K64" s="153"/>
    </row>
    <row r="65" spans="1:11" s="164" customFormat="1" ht="15.75">
      <c r="A65" s="182"/>
      <c r="B65" s="183" t="s">
        <v>54</v>
      </c>
      <c r="C65" s="162">
        <f aca="true" t="shared" si="13" ref="C65:H65">SUM(C59:C64)</f>
        <v>49110110.83</v>
      </c>
      <c r="D65" s="162">
        <f>SUM(D59:D64)</f>
        <v>47991750</v>
      </c>
      <c r="E65" s="162">
        <f t="shared" si="13"/>
        <v>1118360.83</v>
      </c>
      <c r="F65" s="162">
        <f t="shared" si="13"/>
        <v>84908556.0467742</v>
      </c>
      <c r="G65" s="162">
        <f t="shared" si="13"/>
        <v>99475750</v>
      </c>
      <c r="H65" s="162">
        <f t="shared" si="13"/>
        <v>-14567193.953225797</v>
      </c>
      <c r="I65" s="163"/>
      <c r="J65" s="151"/>
      <c r="K65" s="153"/>
    </row>
    <row r="66" spans="1:11" s="121" customFormat="1" ht="15.75">
      <c r="A66" s="190"/>
      <c r="B66" s="191"/>
      <c r="C66" s="167"/>
      <c r="D66" s="167"/>
      <c r="E66" s="168"/>
      <c r="F66" s="169"/>
      <c r="G66" s="170"/>
      <c r="H66" s="169"/>
      <c r="I66" s="167"/>
      <c r="J66" s="169"/>
      <c r="K66" s="171"/>
    </row>
    <row r="67" spans="1:11" s="121" customFormat="1" ht="47.25">
      <c r="A67" s="141" t="s">
        <v>82</v>
      </c>
      <c r="B67" s="184" t="s">
        <v>83</v>
      </c>
      <c r="C67" s="149"/>
      <c r="D67" s="149"/>
      <c r="E67" s="172"/>
      <c r="F67" s="151"/>
      <c r="G67" s="173"/>
      <c r="H67" s="151"/>
      <c r="I67" s="149"/>
      <c r="J67" s="151"/>
      <c r="K67" s="153"/>
    </row>
    <row r="68" spans="1:11" s="121" customFormat="1" ht="15.75">
      <c r="A68" s="155">
        <v>6.1</v>
      </c>
      <c r="B68" s="181" t="s">
        <v>84</v>
      </c>
      <c r="C68" s="149">
        <f>'[1]Detail by component&amp;categor (3)'!G249</f>
        <v>3891953.76</v>
      </c>
      <c r="D68" s="149">
        <f>'[1]Detail by component&amp;categor (3)'!F250</f>
        <v>4346250</v>
      </c>
      <c r="E68" s="150">
        <f>C68-D68</f>
        <v>-454296.2400000002</v>
      </c>
      <c r="F68" s="150">
        <f>4936955.61210526+C68</f>
        <v>8828909.37210526</v>
      </c>
      <c r="G68" s="151">
        <f>4575000+D68</f>
        <v>8921250</v>
      </c>
      <c r="H68" s="150">
        <f>F68-G68</f>
        <v>-92340.62789474055</v>
      </c>
      <c r="I68" s="152"/>
      <c r="J68" s="151"/>
      <c r="K68" s="153"/>
    </row>
    <row r="69" spans="1:11" s="164" customFormat="1" ht="15.75">
      <c r="A69" s="192"/>
      <c r="B69" s="183" t="s">
        <v>54</v>
      </c>
      <c r="C69" s="162">
        <f aca="true" t="shared" si="14" ref="C69:H69">SUM(C68)</f>
        <v>3891953.76</v>
      </c>
      <c r="D69" s="162">
        <f t="shared" si="14"/>
        <v>4346250</v>
      </c>
      <c r="E69" s="162">
        <f t="shared" si="14"/>
        <v>-454296.2400000002</v>
      </c>
      <c r="F69" s="162">
        <f t="shared" si="14"/>
        <v>8828909.37210526</v>
      </c>
      <c r="G69" s="162">
        <f t="shared" si="14"/>
        <v>8921250</v>
      </c>
      <c r="H69" s="162">
        <f t="shared" si="14"/>
        <v>-92340.62789474055</v>
      </c>
      <c r="I69" s="163"/>
      <c r="J69" s="151"/>
      <c r="K69" s="153"/>
    </row>
    <row r="70" spans="1:11" s="121" customFormat="1" ht="16.5" thickBot="1">
      <c r="A70" s="193"/>
      <c r="B70" s="194"/>
      <c r="C70" s="167"/>
      <c r="D70" s="167"/>
      <c r="E70" s="195"/>
      <c r="F70" s="196"/>
      <c r="G70" s="197"/>
      <c r="H70" s="196"/>
      <c r="I70" s="167"/>
      <c r="J70" s="196"/>
      <c r="K70" s="198"/>
    </row>
    <row r="71" spans="1:11" s="164" customFormat="1" ht="16.5" thickBot="1">
      <c r="A71" s="199"/>
      <c r="B71" s="200" t="s">
        <v>85</v>
      </c>
      <c r="C71" s="201">
        <f aca="true" t="shared" si="15" ref="C71:H71">C30+C41+C52+C56+C65+C69</f>
        <v>270300595.53999996</v>
      </c>
      <c r="D71" s="201">
        <f t="shared" si="15"/>
        <v>189039000</v>
      </c>
      <c r="E71" s="201">
        <f t="shared" si="15"/>
        <v>81261595.54</v>
      </c>
      <c r="F71" s="201">
        <f t="shared" si="15"/>
        <v>383651229.8888794</v>
      </c>
      <c r="G71" s="201">
        <f t="shared" si="15"/>
        <v>566629000</v>
      </c>
      <c r="H71" s="201">
        <f t="shared" si="15"/>
        <v>-182977770.11112052</v>
      </c>
      <c r="I71" s="201"/>
      <c r="J71" s="202"/>
      <c r="K71" s="203"/>
    </row>
    <row r="72" spans="2:11" s="121" customFormat="1" ht="15.75">
      <c r="B72" s="204"/>
      <c r="C72" s="205"/>
      <c r="D72" s="205"/>
      <c r="E72" s="205"/>
      <c r="I72" s="206"/>
      <c r="J72" s="206"/>
      <c r="K72" s="206"/>
    </row>
    <row r="73" spans="2:11" s="121" customFormat="1" ht="15.75">
      <c r="B73" s="204" t="s">
        <v>86</v>
      </c>
      <c r="C73" s="206"/>
      <c r="D73" s="206">
        <f>C71-'[2]SOE  SUMMARY '!$C$40</f>
        <v>0</v>
      </c>
      <c r="E73" s="206"/>
      <c r="I73" s="206"/>
      <c r="J73" s="206"/>
      <c r="K73" s="206"/>
    </row>
    <row r="74" spans="1:11" s="121" customFormat="1" ht="15.75">
      <c r="A74" s="121">
        <v>1</v>
      </c>
      <c r="B74" s="232" t="s">
        <v>112</v>
      </c>
      <c r="C74" s="232"/>
      <c r="D74" s="232"/>
      <c r="E74" s="232"/>
      <c r="F74" s="232"/>
      <c r="G74" s="232"/>
      <c r="H74" s="232"/>
      <c r="I74" s="206"/>
      <c r="J74" s="206"/>
      <c r="K74" s="206"/>
    </row>
    <row r="75" spans="1:11" s="121" customFormat="1" ht="15.75">
      <c r="A75" s="121">
        <v>2</v>
      </c>
      <c r="B75" s="207" t="s">
        <v>117</v>
      </c>
      <c r="C75" s="208"/>
      <c r="D75" s="209"/>
      <c r="E75" s="209"/>
      <c r="F75" s="210"/>
      <c r="G75" s="210"/>
      <c r="H75" s="210"/>
      <c r="I75" s="206"/>
      <c r="J75" s="206"/>
      <c r="K75" s="206"/>
    </row>
    <row r="76" spans="2:11" s="121" customFormat="1" ht="15.75">
      <c r="B76" s="204"/>
      <c r="C76" s="206"/>
      <c r="D76" s="206"/>
      <c r="I76" s="206"/>
      <c r="J76" s="206"/>
      <c r="K76" s="206"/>
    </row>
    <row r="77" spans="3:4" ht="15">
      <c r="C77" s="205"/>
      <c r="D77" s="211"/>
    </row>
    <row r="78" spans="3:4" ht="12.75">
      <c r="C78" s="211"/>
      <c r="D78" s="211"/>
    </row>
    <row r="79" spans="1:3" ht="15">
      <c r="A79" s="120" t="s">
        <v>23</v>
      </c>
      <c r="C79" s="205"/>
    </row>
    <row r="80" spans="1:3" ht="15">
      <c r="A80" s="120" t="s">
        <v>24</v>
      </c>
      <c r="C80" s="205"/>
    </row>
  </sheetData>
  <sheetProtection/>
  <mergeCells count="9">
    <mergeCell ref="B74:H74"/>
    <mergeCell ref="A7:K7"/>
    <mergeCell ref="A8:K8"/>
    <mergeCell ref="A9:K9"/>
    <mergeCell ref="A10:K10"/>
    <mergeCell ref="A12:A13"/>
    <mergeCell ref="B12:B13"/>
    <mergeCell ref="C12:E12"/>
    <mergeCell ref="F12:H12"/>
  </mergeCells>
  <printOptions/>
  <pageMargins left="0.51" right="0.75" top="0.43" bottom="0.36" header="0.21" footer="0.18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Luke Ngwu</cp:lastModifiedBy>
  <cp:lastPrinted>2019-05-20T11:21:25Z</cp:lastPrinted>
  <dcterms:created xsi:type="dcterms:W3CDTF">2007-11-21T06:38:14Z</dcterms:created>
  <dcterms:modified xsi:type="dcterms:W3CDTF">2019-06-26T21:03:27Z</dcterms:modified>
  <cp:category/>
  <cp:version/>
  <cp:contentType/>
  <cp:contentStatus/>
</cp:coreProperties>
</file>